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defaultThemeVersion="124226"/>
  <mc:AlternateContent xmlns:mc="http://schemas.openxmlformats.org/markup-compatibility/2006">
    <mc:Choice Requires="x15">
      <x15ac:absPath xmlns:x15ac="http://schemas.microsoft.com/office/spreadsheetml/2010/11/ac" url="D:\DOCENCIA\DIRECC_SISTEMAS\G_2017\"/>
    </mc:Choice>
  </mc:AlternateContent>
  <xr:revisionPtr revIDLastSave="0" documentId="10_ncr:8100000_{D04CD1A2-264C-427A-83F6-7423404CB00F}" xr6:coauthVersionLast="34" xr6:coauthVersionMax="34" xr10:uidLastSave="{00000000-0000-0000-0000-000000000000}"/>
  <bookViews>
    <workbookView xWindow="240" yWindow="75" windowWidth="20055" windowHeight="7935" xr2:uid="{00000000-000D-0000-FFFF-FFFF00000000}"/>
  </bookViews>
  <sheets>
    <sheet name="EJEMPLO" sheetId="1" r:id="rId1"/>
    <sheet name="Hoja2" sheetId="2" r:id="rId2"/>
    <sheet name="Hoja3" sheetId="3" r:id="rId3"/>
  </sheets>
  <calcPr calcId="162913"/>
  <fileRecoveryPr autoRecover="0"/>
</workbook>
</file>

<file path=xl/calcChain.xml><?xml version="1.0" encoding="utf-8"?>
<calcChain xmlns="http://schemas.openxmlformats.org/spreadsheetml/2006/main">
  <c r="J99" i="1" l="1"/>
  <c r="J96" i="1"/>
  <c r="J93" i="1"/>
  <c r="H99" i="1"/>
  <c r="H96" i="1"/>
  <c r="H93" i="1"/>
  <c r="G102" i="1" l="1"/>
  <c r="H76" i="1"/>
  <c r="E99" i="1"/>
  <c r="E98" i="1"/>
  <c r="E96" i="1"/>
  <c r="E95" i="1"/>
  <c r="E93" i="1"/>
  <c r="E92" i="1"/>
  <c r="F82" i="1"/>
  <c r="E82" i="1"/>
  <c r="F81" i="1"/>
  <c r="E81" i="1"/>
  <c r="F80" i="1"/>
  <c r="E80" i="1"/>
  <c r="J75" i="1" l="1"/>
  <c r="H75" i="1"/>
  <c r="H74" i="1"/>
  <c r="I72" i="1"/>
  <c r="I71" i="1"/>
  <c r="F67" i="1"/>
  <c r="F66" i="1"/>
  <c r="F65" i="1"/>
  <c r="H63" i="1"/>
  <c r="F63" i="1"/>
  <c r="K58" i="1"/>
  <c r="L55" i="1"/>
  <c r="L54" i="1"/>
  <c r="K54" i="1"/>
  <c r="K56" i="1" s="1"/>
  <c r="K49" i="1"/>
  <c r="L25" i="1"/>
</calcChain>
</file>

<file path=xl/sharedStrings.xml><?xml version="1.0" encoding="utf-8"?>
<sst xmlns="http://schemas.openxmlformats.org/spreadsheetml/2006/main" count="153" uniqueCount="133">
  <si>
    <t>EJEMPLO PARA SOLUCION EN CURSO</t>
  </si>
  <si>
    <t xml:space="preserve"> - El peso especifico de la madera es de 0,8 gr/cm3</t>
  </si>
  <si>
    <t xml:space="preserve"> - El producto terminado se transporta en pallets de 40x42x40 cm</t>
  </si>
  <si>
    <t xml:space="preserve"> - El producto acabado debe transportarse hasta un Puerto en Italia en contenedor estándar.</t>
  </si>
  <si>
    <t>PREGUNTAS:</t>
  </si>
  <si>
    <t>1. Cuáles son los procesos aproximados, desde la tala hasta la entrega del producto en Puerto?.</t>
  </si>
  <si>
    <t>3. Cumplimos con el contrato en relación al tiempo?.</t>
  </si>
  <si>
    <t>4. Cuántos bloques de madera parket hacen los 5 mil m2?</t>
  </si>
  <si>
    <t>2. El diagrama de flujo: RUTAS PROBABLES, DISTANCIAS Y TIEMPOS.</t>
  </si>
  <si>
    <t>5. Qué tipo de contenedor se va a emplear y cuántos para esta exportación?</t>
  </si>
  <si>
    <t xml:space="preserve"> - Las dimensiones del parket son L=20; A=7 y E=1 cm.</t>
  </si>
  <si>
    <t>maestranzas donde las cortan y transportan hasta Quiquibey por barco y de ahí en camiones a El Alto.</t>
  </si>
  <si>
    <t>Nro</t>
  </si>
  <si>
    <t xml:space="preserve"> Procesos de corte de troncas</t>
  </si>
  <si>
    <t xml:space="preserve"> Control de calidad</t>
  </si>
  <si>
    <t>SIMBOLO</t>
  </si>
  <si>
    <t>MODALIDAD DE TRANSPORTE</t>
  </si>
  <si>
    <t>Control documentos en trancas</t>
  </si>
  <si>
    <t>Control peso por eje en trancas</t>
  </si>
  <si>
    <t>Senasag, Felcn</t>
  </si>
  <si>
    <t>Descansos y Alimentacion</t>
  </si>
  <si>
    <t>Proceso de fabricación del parquet en su maestranza de carpintería</t>
  </si>
  <si>
    <t>Empacado en pallets.</t>
  </si>
  <si>
    <t>Documentos de control. TIF, DTA.</t>
  </si>
  <si>
    <t>Llegada a Tambo Quemado</t>
  </si>
  <si>
    <t>Informacion Manual</t>
  </si>
  <si>
    <t>Verificacion de documentos</t>
  </si>
  <si>
    <t>Cumple?, No cumple?</t>
  </si>
  <si>
    <t>Si cumple. Transporte Chungara - Arica</t>
  </si>
  <si>
    <t>Llegada a Puerto.</t>
  </si>
  <si>
    <t>Control de documentos. Aduana, seguros.</t>
  </si>
  <si>
    <t>Descarga y almacenaje de contenedor</t>
  </si>
  <si>
    <t>Carga a Barco.</t>
  </si>
  <si>
    <t>Transporte Puerto de Arica - Puerto de Italia</t>
  </si>
  <si>
    <t>Fin de proceso</t>
  </si>
  <si>
    <t>Carretero</t>
  </si>
  <si>
    <t>DISTANCIA APROX. KMS</t>
  </si>
  <si>
    <t>Fluvial</t>
  </si>
  <si>
    <t>OBSERVACIONES</t>
  </si>
  <si>
    <t>Barcos fluviales rio arriba 8 nudos/hora</t>
  </si>
  <si>
    <t>Una empresa que explota madera de manera sostenible (significa que por cada arbol que tala planta otros 5) ha cerrado un negocio de exportación de piso párket para los mercados de Italia. La madera preciosa esta ubicada en alto Beni, la maestranza de carpintería se encuentra en El Alto. Las condiciones generales son:</t>
  </si>
  <si>
    <t xml:space="preserve"> -La madera en troncas es llevada desde los lugares de explotación  hasta sus  </t>
  </si>
  <si>
    <t xml:space="preserve"> Transporte en camiones a su maestranza cerca al rio Beni</t>
  </si>
  <si>
    <t xml:space="preserve"> Tala de arboles en los bosques de Alto Beni</t>
  </si>
  <si>
    <t xml:space="preserve"> Transporte en barco hasta Sanbuenavent. Activ. Contratada</t>
  </si>
  <si>
    <t xml:space="preserve"> Transporte de madera de Rurenabaque a El Alto</t>
  </si>
  <si>
    <t>Quiq-Rurre-Yucumo-Caranavi-Coroico-El Alto</t>
  </si>
  <si>
    <t>Inicio</t>
  </si>
  <si>
    <t>DIAS</t>
  </si>
  <si>
    <t>HORAS</t>
  </si>
  <si>
    <t>TIEMPO APROXIMADO</t>
  </si>
  <si>
    <t>30 min controles+3 hrs. Desc</t>
  </si>
  <si>
    <t>Control de calidad</t>
  </si>
  <si>
    <t>Transporte de El Alto a Tambo Quemado en contenedores</t>
  </si>
  <si>
    <t>Tiempo promedio de estadia entre TQ y Chungara</t>
  </si>
  <si>
    <t>Maritimo</t>
  </si>
  <si>
    <t>10000 millas</t>
  </si>
  <si>
    <t>10.000 mil millas nauticas x 1,7 Kms/1 milla = 17000 kms. Velocidad promedio=18 Millas/hora (18*1,7=30km/h)</t>
  </si>
  <si>
    <t>Paso por el Canal de Panama</t>
  </si>
  <si>
    <t>Escala en otros Puertos, combustible y logistica</t>
  </si>
  <si>
    <t>Llegada al Puerto de Florencia</t>
  </si>
  <si>
    <t>TOTAL DIAS</t>
  </si>
  <si>
    <t xml:space="preserve"> - El contrato es por 5 mil m2 de superficie de parket; y tienen un plazo de entrega de 3 meses.</t>
  </si>
  <si>
    <t>IMPREVISTOS, CONTING.</t>
  </si>
  <si>
    <t>TOTAL</t>
  </si>
  <si>
    <t xml:space="preserve">RESPUESTA A PREGUNTAS 1, Y 2 </t>
  </si>
  <si>
    <t xml:space="preserve">RESPUESTA 3. </t>
  </si>
  <si>
    <t>Si se cumple pero muy a las justas. Hay que analizar donde acortar tiempos.</t>
  </si>
  <si>
    <t>RESPUESTA 4.</t>
  </si>
  <si>
    <t>Superficie de 1 bloque de madera= 20x7=</t>
  </si>
  <si>
    <t>Contrato</t>
  </si>
  <si>
    <t>m2</t>
  </si>
  <si>
    <t>cm2   =</t>
  </si>
  <si>
    <t>Cantidad de bloques = 5000/0,013</t>
  </si>
  <si>
    <t>piezas</t>
  </si>
  <si>
    <t>Margen de seguridad x recambio 2%</t>
  </si>
  <si>
    <t>TOTAL BLOQUES</t>
  </si>
  <si>
    <t>RESPUESTA 5.</t>
  </si>
  <si>
    <t>cantidad de bloques que caben en 1 pallet =</t>
  </si>
  <si>
    <t>Vol. Pallet/vol bloque =</t>
  </si>
  <si>
    <t>(40*42*40)/(20*7*1)</t>
  </si>
  <si>
    <t>Cantidad =</t>
  </si>
  <si>
    <t>pzas.</t>
  </si>
  <si>
    <t>LOS DATOS DE LOS CONTENEDORES ESTANDAR SEGÚN TABLAS SON:</t>
  </si>
  <si>
    <t>VOL. M3</t>
  </si>
  <si>
    <t>20 PIES</t>
  </si>
  <si>
    <t>40 PIES</t>
  </si>
  <si>
    <t>40 PIES HIGH CUBE</t>
  </si>
  <si>
    <t>CAP. KGS</t>
  </si>
  <si>
    <t>Peso de 1 bloque de madera = vol x peso especifico =(20*7*1)*0,8</t>
  </si>
  <si>
    <t>Peso =</t>
  </si>
  <si>
    <t>grs.</t>
  </si>
  <si>
    <t>Kgs</t>
  </si>
  <si>
    <t>Peso pallet = 480 * 0,175 =</t>
  </si>
  <si>
    <t>kgs.</t>
  </si>
  <si>
    <t>Volumen pallet = 40*42*40 =</t>
  </si>
  <si>
    <t>cm3</t>
  </si>
  <si>
    <t>m3</t>
  </si>
  <si>
    <t>NRO. PALLETS</t>
  </si>
  <si>
    <t>POR PESO</t>
  </si>
  <si>
    <t>POR VOLUMEN</t>
  </si>
  <si>
    <t>Primero calculamos cuantos pallets caben en cada contenedor tanto por la capacidad de carga como por el volumen disponible.</t>
  </si>
  <si>
    <t>En las columnas coloreadas del cuadro arriba observamos estos resultados.</t>
  </si>
  <si>
    <t xml:space="preserve">Entonces podemos deducir que la variable importante es el volumen, puesto que por estas dimensiones, caben menor </t>
  </si>
  <si>
    <t>cantidad que por peso.</t>
  </si>
  <si>
    <t>Pero cual de los contenedores elegimos¿¿¿¿.</t>
  </si>
  <si>
    <t>Esto se define por el COEFICIENTE DE APROVECHAMIENTO O AFORO.</t>
  </si>
  <si>
    <t>ELECCION DEL CONTENEDOR A EMPLEAR:</t>
  </si>
  <si>
    <t>a) Para cont. De 20 pies:</t>
  </si>
  <si>
    <t>49*84</t>
  </si>
  <si>
    <t xml:space="preserve"> - peso real=</t>
  </si>
  <si>
    <t>Aprovechamiento  =</t>
  </si>
  <si>
    <t>%</t>
  </si>
  <si>
    <t>b) Cont. De 40 pies:</t>
  </si>
  <si>
    <t>98*84</t>
  </si>
  <si>
    <t>c) High cube:</t>
  </si>
  <si>
    <t>113*84</t>
  </si>
  <si>
    <t>RESPUESTA: Elijo el contenedor 40 pies tipo HC, se aprovecha mejor por la restricción del peso.</t>
  </si>
  <si>
    <t>Nro. De contenedores que se necesitan:</t>
  </si>
  <si>
    <t>Cantidad de pallets = 364286/480 =</t>
  </si>
  <si>
    <t>pallets</t>
  </si>
  <si>
    <t>744/113</t>
  </si>
  <si>
    <t>CONTENEDORES</t>
  </si>
  <si>
    <t xml:space="preserve">           OSEA SE SOLICITAN 7 CONTENEDORES</t>
  </si>
  <si>
    <t xml:space="preserve">Analisis: </t>
  </si>
  <si>
    <t xml:space="preserve"> - EL 7mo. Contenedor irá solamente con un 60% de capacidad.</t>
  </si>
  <si>
    <t>Cuál el resultado?</t>
  </si>
  <si>
    <t>nro. CONT.</t>
  </si>
  <si>
    <t>REDOND.</t>
  </si>
  <si>
    <t>COSTO US$</t>
  </si>
  <si>
    <t xml:space="preserve"> - Si el costo de transporte es aproximadamente: 2800; 3800 y 4000 US$ por contenedor de 20; 40 y 40HC respectivamente.</t>
  </si>
  <si>
    <t xml:space="preserve"> = VER CUADRO AMARILLO</t>
  </si>
  <si>
    <t xml:space="preserve"> Desbroce de ramas. Actividad contratada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</si>
</sst>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8"/>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43">
    <xf numFmtId="0" fontId="0" fillId="0" borderId="0" xfId="0"/>
    <xf numFmtId="0" fontId="1" fillId="0" borderId="0" xfId="0" applyFont="1"/>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xf numFmtId="2" fontId="0" fillId="0" borderId="0" xfId="0" applyNumberFormat="1"/>
    <xf numFmtId="0" fontId="2" fillId="0" borderId="0" xfId="0" applyFont="1" applyAlignment="1">
      <alignment horizontal="left" vertical="center" indent="1"/>
    </xf>
    <xf numFmtId="0" fontId="2" fillId="0" borderId="0" xfId="0" applyFont="1" applyAlignment="1">
      <alignment wrapText="1"/>
    </xf>
    <xf numFmtId="164" fontId="0" fillId="0" borderId="0" xfId="0" applyNumberFormat="1"/>
    <xf numFmtId="0" fontId="1" fillId="2" borderId="0" xfId="0" applyFont="1" applyFill="1"/>
    <xf numFmtId="0" fontId="1" fillId="2" borderId="1" xfId="0" applyFont="1" applyFill="1" applyBorder="1"/>
    <xf numFmtId="164" fontId="1" fillId="2" borderId="2" xfId="0" applyNumberFormat="1" applyFont="1" applyFill="1" applyBorder="1"/>
    <xf numFmtId="0" fontId="1" fillId="2" borderId="2" xfId="0" applyFont="1" applyFill="1" applyBorder="1"/>
    <xf numFmtId="0" fontId="0" fillId="0" borderId="3" xfId="0" applyBorder="1"/>
    <xf numFmtId="0" fontId="0" fillId="3" borderId="0" xfId="0" applyFill="1"/>
    <xf numFmtId="0" fontId="1" fillId="4" borderId="0" xfId="0" applyFont="1" applyFill="1"/>
    <xf numFmtId="1" fontId="1" fillId="4" borderId="0" xfId="0" applyNumberFormat="1" applyFont="1" applyFill="1"/>
    <xf numFmtId="0" fontId="0" fillId="0" borderId="4" xfId="0" applyBorder="1"/>
    <xf numFmtId="0" fontId="1" fillId="4" borderId="0" xfId="0" applyFont="1" applyFill="1" applyAlignment="1">
      <alignment horizontal="right"/>
    </xf>
    <xf numFmtId="0" fontId="1" fillId="0" borderId="0" xfId="0" applyFont="1" applyFill="1" applyAlignment="1">
      <alignment horizontal="right"/>
    </xf>
    <xf numFmtId="0" fontId="1" fillId="0" borderId="0" xfId="0" applyFont="1" applyFill="1"/>
    <xf numFmtId="0" fontId="1" fillId="5" borderId="0" xfId="0" applyFont="1" applyFill="1"/>
    <xf numFmtId="0" fontId="0" fillId="2" borderId="0" xfId="0" applyFill="1"/>
    <xf numFmtId="0" fontId="1" fillId="2" borderId="0" xfId="0" applyFont="1" applyFill="1" applyAlignment="1">
      <alignment horizontal="right"/>
    </xf>
    <xf numFmtId="0" fontId="0" fillId="0" borderId="5" xfId="0" applyBorder="1"/>
    <xf numFmtId="2" fontId="0" fillId="5" borderId="6" xfId="0" applyNumberFormat="1" applyFill="1" applyBorder="1"/>
    <xf numFmtId="2" fontId="0" fillId="5" borderId="4" xfId="0" applyNumberFormat="1" applyFill="1" applyBorder="1"/>
    <xf numFmtId="0" fontId="0" fillId="5" borderId="4" xfId="0" applyFill="1" applyBorder="1"/>
    <xf numFmtId="0" fontId="1" fillId="5" borderId="7" xfId="0" applyFont="1" applyFill="1" applyBorder="1" applyAlignment="1">
      <alignment horizontal="center"/>
    </xf>
    <xf numFmtId="0" fontId="1" fillId="5" borderId="8" xfId="0" applyFont="1" applyFill="1" applyBorder="1" applyAlignment="1">
      <alignment horizontal="center"/>
    </xf>
    <xf numFmtId="0" fontId="1" fillId="5" borderId="9" xfId="0" applyFont="1" applyFill="1" applyBorder="1" applyAlignment="1">
      <alignment horizontal="center"/>
    </xf>
    <xf numFmtId="0" fontId="1" fillId="5" borderId="10" xfId="0" applyFont="1" applyFill="1" applyBorder="1" applyAlignment="1">
      <alignment horizontal="center"/>
    </xf>
    <xf numFmtId="0" fontId="0" fillId="0" borderId="0" xfId="0" applyFill="1"/>
    <xf numFmtId="2" fontId="0" fillId="6" borderId="0" xfId="0" applyNumberFormat="1" applyFill="1"/>
    <xf numFmtId="0" fontId="0" fillId="6" borderId="0" xfId="0" applyFill="1"/>
    <xf numFmtId="1" fontId="1" fillId="2" borderId="0" xfId="0" applyNumberFormat="1" applyFont="1" applyFill="1" applyAlignment="1">
      <alignment horizontal="right"/>
    </xf>
    <xf numFmtId="0" fontId="3" fillId="7" borderId="0" xfId="0" applyFont="1" applyFill="1"/>
    <xf numFmtId="0" fontId="0" fillId="2" borderId="0" xfId="0" applyFill="1" applyAlignment="1">
      <alignment horizontal="center"/>
    </xf>
    <xf numFmtId="0" fontId="0" fillId="0" borderId="0" xfId="0" applyAlignment="1">
      <alignment horizontal="left" vertical="top" wrapText="1"/>
    </xf>
    <xf numFmtId="0" fontId="1" fillId="0" borderId="0" xfId="0" applyFont="1" applyAlignment="1">
      <alignment horizontal="center" wrapText="1"/>
    </xf>
    <xf numFmtId="0" fontId="0" fillId="0" borderId="0" xfId="0" applyAlignment="1">
      <alignment horizontal="right" vertical="center" indent="1"/>
    </xf>
    <xf numFmtId="0" fontId="0" fillId="0" borderId="0" xfId="0" applyAlignment="1">
      <alignment horizontal="righ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8"/>
  <sheetViews>
    <sheetView tabSelected="1" topLeftCell="A88" zoomScaleNormal="100" workbookViewId="0">
      <selection activeCell="F82" sqref="F82"/>
    </sheetView>
  </sheetViews>
  <sheetFormatPr baseColWidth="10" defaultRowHeight="15" x14ac:dyDescent="0.25"/>
  <cols>
    <col min="1" max="1" width="4.42578125" customWidth="1"/>
    <col min="2" max="2" width="16.85546875" customWidth="1"/>
    <col min="5" max="5" width="13.42578125" customWidth="1"/>
    <col min="6" max="6" width="13.85546875" customWidth="1"/>
    <col min="7" max="7" width="12.85546875" customWidth="1"/>
    <col min="8" max="8" width="10.28515625" bestFit="1" customWidth="1"/>
    <col min="9" max="9" width="13.140625" customWidth="1"/>
    <col min="11" max="11" width="6.140625" customWidth="1"/>
    <col min="12" max="12" width="7.140625" bestFit="1" customWidth="1"/>
    <col min="13" max="13" width="36.85546875" customWidth="1"/>
  </cols>
  <sheetData>
    <row r="1" spans="1:8" x14ac:dyDescent="0.25">
      <c r="A1" s="1" t="s">
        <v>0</v>
      </c>
    </row>
    <row r="2" spans="1:8" ht="62.25" customHeight="1" x14ac:dyDescent="0.25">
      <c r="A2" s="39" t="s">
        <v>40</v>
      </c>
      <c r="B2" s="39"/>
      <c r="C2" s="39"/>
      <c r="D2" s="39"/>
      <c r="E2" s="39"/>
      <c r="F2" s="39"/>
      <c r="G2" s="39"/>
      <c r="H2" s="39"/>
    </row>
    <row r="3" spans="1:8" x14ac:dyDescent="0.25">
      <c r="A3" t="s">
        <v>62</v>
      </c>
    </row>
    <row r="4" spans="1:8" x14ac:dyDescent="0.25">
      <c r="A4" t="s">
        <v>41</v>
      </c>
    </row>
    <row r="5" spans="1:8" x14ac:dyDescent="0.25">
      <c r="A5" t="s">
        <v>11</v>
      </c>
    </row>
    <row r="6" spans="1:8" x14ac:dyDescent="0.25">
      <c r="A6" t="s">
        <v>10</v>
      </c>
    </row>
    <row r="7" spans="1:8" x14ac:dyDescent="0.25">
      <c r="A7" t="s">
        <v>1</v>
      </c>
    </row>
    <row r="8" spans="1:8" x14ac:dyDescent="0.25">
      <c r="A8" t="s">
        <v>2</v>
      </c>
    </row>
    <row r="9" spans="1:8" x14ac:dyDescent="0.25">
      <c r="A9" t="s">
        <v>3</v>
      </c>
    </row>
    <row r="10" spans="1:8" x14ac:dyDescent="0.25">
      <c r="A10" s="1" t="s">
        <v>4</v>
      </c>
    </row>
    <row r="11" spans="1:8" x14ac:dyDescent="0.25">
      <c r="A11" t="s">
        <v>5</v>
      </c>
    </row>
    <row r="12" spans="1:8" x14ac:dyDescent="0.25">
      <c r="A12" t="s">
        <v>8</v>
      </c>
    </row>
    <row r="13" spans="1:8" x14ac:dyDescent="0.25">
      <c r="A13" t="s">
        <v>6</v>
      </c>
    </row>
    <row r="14" spans="1:8" x14ac:dyDescent="0.25">
      <c r="A14" t="s">
        <v>7</v>
      </c>
    </row>
    <row r="15" spans="1:8" x14ac:dyDescent="0.25">
      <c r="A15" t="s">
        <v>9</v>
      </c>
    </row>
    <row r="17" spans="1:15" ht="29.25" customHeight="1" x14ac:dyDescent="0.25">
      <c r="A17" s="1" t="s">
        <v>65</v>
      </c>
      <c r="K17" s="40" t="s">
        <v>50</v>
      </c>
      <c r="L17" s="40"/>
    </row>
    <row r="18" spans="1:15" ht="45" x14ac:dyDescent="0.25">
      <c r="A18" t="s">
        <v>12</v>
      </c>
      <c r="H18" s="4" t="s">
        <v>15</v>
      </c>
      <c r="I18" s="4" t="s">
        <v>16</v>
      </c>
      <c r="J18" s="4" t="s">
        <v>36</v>
      </c>
      <c r="K18" s="4" t="s">
        <v>48</v>
      </c>
      <c r="L18" s="4" t="s">
        <v>49</v>
      </c>
      <c r="M18" s="4" t="s">
        <v>38</v>
      </c>
      <c r="N18" s="2"/>
      <c r="O18" s="3"/>
    </row>
    <row r="19" spans="1:15" x14ac:dyDescent="0.25">
      <c r="A19">
        <v>1</v>
      </c>
      <c r="B19" t="s">
        <v>43</v>
      </c>
      <c r="M19" s="5"/>
    </row>
    <row r="20" spans="1:15" x14ac:dyDescent="0.25">
      <c r="A20">
        <v>2</v>
      </c>
      <c r="B20" t="s">
        <v>132</v>
      </c>
      <c r="M20" s="5"/>
    </row>
    <row r="21" spans="1:15" x14ac:dyDescent="0.25">
      <c r="B21" t="s">
        <v>47</v>
      </c>
      <c r="M21" s="5"/>
    </row>
    <row r="22" spans="1:15" x14ac:dyDescent="0.25">
      <c r="A22">
        <v>3</v>
      </c>
      <c r="B22" t="s">
        <v>42</v>
      </c>
      <c r="I22" t="s">
        <v>35</v>
      </c>
      <c r="J22">
        <v>40</v>
      </c>
      <c r="L22">
        <v>1.5</v>
      </c>
      <c r="M22" s="5"/>
    </row>
    <row r="23" spans="1:15" x14ac:dyDescent="0.25">
      <c r="A23">
        <v>4</v>
      </c>
      <c r="B23" t="s">
        <v>13</v>
      </c>
      <c r="K23" s="15">
        <v>5</v>
      </c>
      <c r="M23" s="5"/>
    </row>
    <row r="24" spans="1:15" x14ac:dyDescent="0.25">
      <c r="A24">
        <v>5</v>
      </c>
      <c r="B24" t="s">
        <v>14</v>
      </c>
      <c r="L24" s="15">
        <v>24</v>
      </c>
      <c r="M24" s="5"/>
    </row>
    <row r="25" spans="1:15" x14ac:dyDescent="0.25">
      <c r="A25">
        <v>6</v>
      </c>
      <c r="B25" t="s">
        <v>44</v>
      </c>
      <c r="I25" t="s">
        <v>37</v>
      </c>
      <c r="J25">
        <v>60</v>
      </c>
      <c r="K25" s="6"/>
      <c r="L25" s="6">
        <f>60/(8*1.7)</f>
        <v>4.4117647058823533</v>
      </c>
      <c r="M25" s="5" t="s">
        <v>39</v>
      </c>
    </row>
    <row r="26" spans="1:15" x14ac:dyDescent="0.25">
      <c r="A26">
        <v>7</v>
      </c>
      <c r="B26" t="s">
        <v>45</v>
      </c>
      <c r="I26" t="s">
        <v>35</v>
      </c>
      <c r="J26">
        <v>240</v>
      </c>
      <c r="L26">
        <v>10</v>
      </c>
      <c r="M26" s="5" t="s">
        <v>46</v>
      </c>
    </row>
    <row r="27" spans="1:15" x14ac:dyDescent="0.25">
      <c r="A27">
        <v>8</v>
      </c>
      <c r="B27" t="s">
        <v>17</v>
      </c>
      <c r="L27" s="41">
        <v>4</v>
      </c>
      <c r="M27" s="5"/>
    </row>
    <row r="28" spans="1:15" x14ac:dyDescent="0.25">
      <c r="A28">
        <v>9</v>
      </c>
      <c r="B28" t="s">
        <v>18</v>
      </c>
      <c r="L28" s="41"/>
      <c r="M28" s="5" t="s">
        <v>51</v>
      </c>
    </row>
    <row r="29" spans="1:15" x14ac:dyDescent="0.25">
      <c r="A29">
        <v>10</v>
      </c>
      <c r="B29" t="s">
        <v>19</v>
      </c>
      <c r="L29" s="41"/>
      <c r="M29" s="5"/>
    </row>
    <row r="30" spans="1:15" x14ac:dyDescent="0.25">
      <c r="A30">
        <v>11</v>
      </c>
      <c r="B30" t="s">
        <v>20</v>
      </c>
      <c r="L30" s="41"/>
      <c r="M30" s="5"/>
    </row>
    <row r="31" spans="1:15" x14ac:dyDescent="0.25">
      <c r="A31">
        <v>12</v>
      </c>
      <c r="B31" t="s">
        <v>21</v>
      </c>
      <c r="K31" s="15">
        <v>25</v>
      </c>
      <c r="M31" s="5"/>
    </row>
    <row r="32" spans="1:15" x14ac:dyDescent="0.25">
      <c r="A32">
        <v>13</v>
      </c>
      <c r="B32" t="s">
        <v>22</v>
      </c>
      <c r="L32" s="15">
        <v>8</v>
      </c>
      <c r="M32" s="5"/>
    </row>
    <row r="33" spans="1:13" x14ac:dyDescent="0.25">
      <c r="A33">
        <v>14</v>
      </c>
      <c r="B33" t="s">
        <v>52</v>
      </c>
      <c r="L33" s="15">
        <v>8</v>
      </c>
      <c r="M33" s="5"/>
    </row>
    <row r="34" spans="1:13" x14ac:dyDescent="0.25">
      <c r="A34">
        <v>15</v>
      </c>
      <c r="B34" t="s">
        <v>23</v>
      </c>
      <c r="L34" s="15">
        <v>8</v>
      </c>
      <c r="M34" s="5"/>
    </row>
    <row r="35" spans="1:13" x14ac:dyDescent="0.25">
      <c r="A35">
        <v>16</v>
      </c>
      <c r="B35" t="s">
        <v>53</v>
      </c>
      <c r="I35" t="s">
        <v>35</v>
      </c>
      <c r="J35">
        <v>200</v>
      </c>
      <c r="L35">
        <v>5</v>
      </c>
      <c r="M35" s="5"/>
    </row>
    <row r="36" spans="1:13" x14ac:dyDescent="0.25">
      <c r="A36">
        <v>17</v>
      </c>
      <c r="B36" t="s">
        <v>17</v>
      </c>
      <c r="L36" s="42">
        <v>3</v>
      </c>
      <c r="M36" s="5"/>
    </row>
    <row r="37" spans="1:13" x14ac:dyDescent="0.25">
      <c r="A37">
        <v>18</v>
      </c>
      <c r="B37" t="s">
        <v>18</v>
      </c>
      <c r="L37" s="42"/>
      <c r="M37" s="5"/>
    </row>
    <row r="38" spans="1:13" x14ac:dyDescent="0.25">
      <c r="A38">
        <v>19</v>
      </c>
      <c r="B38" t="s">
        <v>19</v>
      </c>
      <c r="L38" s="42"/>
      <c r="M38" s="5"/>
    </row>
    <row r="39" spans="1:13" x14ac:dyDescent="0.25">
      <c r="A39">
        <v>20</v>
      </c>
      <c r="B39" t="s">
        <v>20</v>
      </c>
      <c r="L39" s="42"/>
      <c r="M39" s="5"/>
    </row>
    <row r="40" spans="1:13" x14ac:dyDescent="0.25">
      <c r="A40">
        <v>21</v>
      </c>
      <c r="B40" t="s">
        <v>24</v>
      </c>
      <c r="L40" s="42">
        <v>5</v>
      </c>
      <c r="M40" s="5"/>
    </row>
    <row r="41" spans="1:13" x14ac:dyDescent="0.25">
      <c r="A41">
        <v>22</v>
      </c>
      <c r="B41" t="s">
        <v>25</v>
      </c>
      <c r="L41" s="42"/>
      <c r="M41" s="7" t="s">
        <v>54</v>
      </c>
    </row>
    <row r="42" spans="1:13" x14ac:dyDescent="0.25">
      <c r="A42">
        <v>23</v>
      </c>
      <c r="B42" t="s">
        <v>26</v>
      </c>
      <c r="L42" s="42"/>
      <c r="M42" s="5"/>
    </row>
    <row r="43" spans="1:13" x14ac:dyDescent="0.25">
      <c r="A43">
        <v>24</v>
      </c>
      <c r="B43" t="s">
        <v>27</v>
      </c>
      <c r="M43" s="5"/>
    </row>
    <row r="44" spans="1:13" x14ac:dyDescent="0.25">
      <c r="A44">
        <v>25</v>
      </c>
      <c r="B44" t="s">
        <v>28</v>
      </c>
      <c r="J44">
        <v>200</v>
      </c>
      <c r="L44">
        <v>5</v>
      </c>
      <c r="M44" s="5"/>
    </row>
    <row r="45" spans="1:13" x14ac:dyDescent="0.25">
      <c r="A45">
        <v>26</v>
      </c>
      <c r="B45" t="s">
        <v>29</v>
      </c>
      <c r="M45" s="5"/>
    </row>
    <row r="46" spans="1:13" x14ac:dyDescent="0.25">
      <c r="A46">
        <v>27</v>
      </c>
      <c r="B46" t="s">
        <v>30</v>
      </c>
      <c r="K46">
        <v>1</v>
      </c>
      <c r="M46" s="5"/>
    </row>
    <row r="47" spans="1:13" x14ac:dyDescent="0.25">
      <c r="A47">
        <v>28</v>
      </c>
      <c r="B47" t="s">
        <v>31</v>
      </c>
      <c r="K47">
        <v>1</v>
      </c>
      <c r="M47" s="5"/>
    </row>
    <row r="48" spans="1:13" x14ac:dyDescent="0.25">
      <c r="A48">
        <v>29</v>
      </c>
      <c r="B48" t="s">
        <v>32</v>
      </c>
      <c r="K48">
        <v>1</v>
      </c>
      <c r="M48" s="5"/>
    </row>
    <row r="49" spans="1:13" ht="34.5" x14ac:dyDescent="0.25">
      <c r="A49">
        <v>30</v>
      </c>
      <c r="B49" t="s">
        <v>33</v>
      </c>
      <c r="I49" t="s">
        <v>55</v>
      </c>
      <c r="J49" t="s">
        <v>56</v>
      </c>
      <c r="K49" s="9">
        <f>(17000/30)/24</f>
        <v>23.611111111111111</v>
      </c>
      <c r="M49" s="8" t="s">
        <v>57</v>
      </c>
    </row>
    <row r="50" spans="1:13" x14ac:dyDescent="0.25">
      <c r="B50" t="s">
        <v>58</v>
      </c>
      <c r="K50" s="9">
        <v>7</v>
      </c>
      <c r="M50" s="8"/>
    </row>
    <row r="51" spans="1:13" x14ac:dyDescent="0.25">
      <c r="B51" t="s">
        <v>59</v>
      </c>
      <c r="K51" s="9">
        <v>4</v>
      </c>
      <c r="M51" s="8"/>
    </row>
    <row r="52" spans="1:13" x14ac:dyDescent="0.25">
      <c r="B52" t="s">
        <v>60</v>
      </c>
      <c r="K52" s="9"/>
      <c r="M52" s="8"/>
    </row>
    <row r="53" spans="1:13" x14ac:dyDescent="0.25">
      <c r="A53">
        <v>31</v>
      </c>
      <c r="B53" t="s">
        <v>34</v>
      </c>
      <c r="H53" s="14"/>
      <c r="I53" s="14"/>
      <c r="J53" s="14"/>
      <c r="K53" s="14"/>
      <c r="L53" s="14"/>
    </row>
    <row r="54" spans="1:13" x14ac:dyDescent="0.25">
      <c r="K54" s="9">
        <f>SUM(K19:K53)</f>
        <v>67.611111111111114</v>
      </c>
      <c r="L54" s="9">
        <f>SUM(L19:L53)</f>
        <v>85.911764705882348</v>
      </c>
    </row>
    <row r="55" spans="1:13" x14ac:dyDescent="0.25">
      <c r="L55" s="6">
        <f>L54/24</f>
        <v>3.579656862745098</v>
      </c>
    </row>
    <row r="56" spans="1:13" x14ac:dyDescent="0.25">
      <c r="J56" t="s">
        <v>61</v>
      </c>
      <c r="K56" s="9">
        <f>K54+L55</f>
        <v>71.190767973856211</v>
      </c>
    </row>
    <row r="57" spans="1:13" ht="15.75" thickBot="1" x14ac:dyDescent="0.3">
      <c r="I57" t="s">
        <v>63</v>
      </c>
      <c r="K57">
        <v>10</v>
      </c>
    </row>
    <row r="58" spans="1:13" ht="15.75" thickBot="1" x14ac:dyDescent="0.3">
      <c r="J58" s="11" t="s">
        <v>64</v>
      </c>
      <c r="K58" s="12">
        <f>SUM(K56:K57)</f>
        <v>81.190767973856211</v>
      </c>
      <c r="L58" s="13" t="s">
        <v>48</v>
      </c>
    </row>
    <row r="60" spans="1:13" x14ac:dyDescent="0.25">
      <c r="A60" t="s">
        <v>66</v>
      </c>
      <c r="C60" t="s">
        <v>67</v>
      </c>
    </row>
    <row r="62" spans="1:13" x14ac:dyDescent="0.25">
      <c r="A62" s="1" t="s">
        <v>68</v>
      </c>
    </row>
    <row r="63" spans="1:13" x14ac:dyDescent="0.25">
      <c r="A63" s="1"/>
      <c r="B63" t="s">
        <v>69</v>
      </c>
      <c r="F63">
        <f>20*7</f>
        <v>140</v>
      </c>
      <c r="G63" t="s">
        <v>72</v>
      </c>
      <c r="H63">
        <f>F63/10000</f>
        <v>1.4E-2</v>
      </c>
      <c r="I63" t="s">
        <v>71</v>
      </c>
    </row>
    <row r="64" spans="1:13" x14ac:dyDescent="0.25">
      <c r="A64" s="1"/>
      <c r="B64" t="s">
        <v>70</v>
      </c>
      <c r="F64">
        <v>5000</v>
      </c>
      <c r="G64" t="s">
        <v>71</v>
      </c>
    </row>
    <row r="65" spans="1:12" x14ac:dyDescent="0.25">
      <c r="A65" s="1"/>
      <c r="C65" t="s">
        <v>73</v>
      </c>
      <c r="F65" s="9">
        <f>F64/H63</f>
        <v>357142.85714285716</v>
      </c>
      <c r="G65" t="s">
        <v>74</v>
      </c>
    </row>
    <row r="66" spans="1:12" x14ac:dyDescent="0.25">
      <c r="A66" s="1"/>
      <c r="C66" t="s">
        <v>75</v>
      </c>
      <c r="F66" s="9">
        <f>F65*0.02</f>
        <v>7142.8571428571431</v>
      </c>
      <c r="G66" t="s">
        <v>74</v>
      </c>
    </row>
    <row r="67" spans="1:12" x14ac:dyDescent="0.25">
      <c r="A67" s="1"/>
      <c r="D67" s="16" t="s">
        <v>76</v>
      </c>
      <c r="E67" s="16"/>
      <c r="F67" s="17">
        <f>SUM(F65:F66)</f>
        <v>364285.71428571432</v>
      </c>
      <c r="G67" s="16" t="s">
        <v>74</v>
      </c>
    </row>
    <row r="68" spans="1:12" x14ac:dyDescent="0.25">
      <c r="A68" s="1"/>
    </row>
    <row r="69" spans="1:12" x14ac:dyDescent="0.25">
      <c r="A69" s="1" t="s">
        <v>77</v>
      </c>
    </row>
    <row r="70" spans="1:12" x14ac:dyDescent="0.25">
      <c r="C70" t="s">
        <v>78</v>
      </c>
      <c r="G70" t="s">
        <v>79</v>
      </c>
      <c r="I70" t="s">
        <v>80</v>
      </c>
    </row>
    <row r="71" spans="1:12" x14ac:dyDescent="0.25">
      <c r="H71" s="16" t="s">
        <v>81</v>
      </c>
      <c r="I71" s="16">
        <f>(40*42*40)/(20*7*1)</f>
        <v>480</v>
      </c>
      <c r="J71" s="16" t="s">
        <v>82</v>
      </c>
    </row>
    <row r="72" spans="1:12" x14ac:dyDescent="0.25">
      <c r="C72" t="s">
        <v>89</v>
      </c>
      <c r="H72" s="19" t="s">
        <v>90</v>
      </c>
      <c r="I72" s="16">
        <f>(20*7*1)/0.8</f>
        <v>175</v>
      </c>
      <c r="J72" s="16" t="s">
        <v>91</v>
      </c>
      <c r="K72" s="22">
        <v>0.17499999999999999</v>
      </c>
      <c r="L72" s="22" t="s">
        <v>92</v>
      </c>
    </row>
    <row r="73" spans="1:12" x14ac:dyDescent="0.25">
      <c r="H73" s="20"/>
      <c r="I73" s="21"/>
      <c r="J73" s="21"/>
    </row>
    <row r="74" spans="1:12" x14ac:dyDescent="0.25">
      <c r="F74" s="23" t="s">
        <v>93</v>
      </c>
      <c r="G74" s="23"/>
      <c r="H74" s="24">
        <f>K72*I71</f>
        <v>84</v>
      </c>
      <c r="I74" s="10" t="s">
        <v>94</v>
      </c>
      <c r="J74" s="10"/>
      <c r="K74" s="23"/>
    </row>
    <row r="75" spans="1:12" x14ac:dyDescent="0.25">
      <c r="F75" s="23" t="s">
        <v>95</v>
      </c>
      <c r="G75" s="23"/>
      <c r="H75" s="24">
        <f>40*42*40</f>
        <v>67200</v>
      </c>
      <c r="I75" s="10" t="s">
        <v>96</v>
      </c>
      <c r="J75" s="10">
        <f>H75/100000</f>
        <v>0.67200000000000004</v>
      </c>
      <c r="K75" s="23" t="s">
        <v>97</v>
      </c>
    </row>
    <row r="76" spans="1:12" x14ac:dyDescent="0.25">
      <c r="E76" s="23" t="s">
        <v>119</v>
      </c>
      <c r="F76" s="23"/>
      <c r="G76" s="23"/>
      <c r="H76" s="36">
        <f>F65/I71</f>
        <v>744.04761904761904</v>
      </c>
      <c r="I76" s="10" t="s">
        <v>120</v>
      </c>
      <c r="J76" s="10"/>
      <c r="K76" s="23"/>
    </row>
    <row r="77" spans="1:12" ht="15.75" thickBot="1" x14ac:dyDescent="0.3">
      <c r="B77" t="s">
        <v>83</v>
      </c>
    </row>
    <row r="78" spans="1:12" x14ac:dyDescent="0.25">
      <c r="E78" s="29" t="s">
        <v>98</v>
      </c>
      <c r="F78" s="30" t="s">
        <v>98</v>
      </c>
    </row>
    <row r="79" spans="1:12" ht="15.75" thickBot="1" x14ac:dyDescent="0.3">
      <c r="C79" s="18" t="s">
        <v>84</v>
      </c>
      <c r="D79" s="25" t="s">
        <v>88</v>
      </c>
      <c r="E79" s="31" t="s">
        <v>99</v>
      </c>
      <c r="F79" s="32" t="s">
        <v>100</v>
      </c>
    </row>
    <row r="80" spans="1:12" x14ac:dyDescent="0.25">
      <c r="B80" s="18" t="s">
        <v>85</v>
      </c>
      <c r="C80" s="18">
        <v>33.200000000000003</v>
      </c>
      <c r="D80" s="25">
        <v>28180</v>
      </c>
      <c r="E80" s="26">
        <f>D80/H74</f>
        <v>335.47619047619048</v>
      </c>
      <c r="F80" s="26">
        <f>C80/J75</f>
        <v>49.404761904761905</v>
      </c>
    </row>
    <row r="81" spans="2:10" x14ac:dyDescent="0.25">
      <c r="B81" s="18" t="s">
        <v>86</v>
      </c>
      <c r="C81" s="18">
        <v>66.400000000000006</v>
      </c>
      <c r="D81" s="25">
        <v>28750</v>
      </c>
      <c r="E81" s="27">
        <f>D81/H74</f>
        <v>342.26190476190476</v>
      </c>
      <c r="F81" s="27">
        <f>C81/J75</f>
        <v>98.80952380952381</v>
      </c>
    </row>
    <row r="82" spans="2:10" x14ac:dyDescent="0.25">
      <c r="B82" s="18" t="s">
        <v>87</v>
      </c>
      <c r="C82" s="18">
        <v>76.400000000000006</v>
      </c>
      <c r="D82" s="25">
        <v>28560</v>
      </c>
      <c r="E82" s="28">
        <f>D82/H74</f>
        <v>340</v>
      </c>
      <c r="F82" s="27">
        <f>C82/J75</f>
        <v>113.69047619047619</v>
      </c>
    </row>
    <row r="84" spans="2:10" x14ac:dyDescent="0.25">
      <c r="C84" t="s">
        <v>107</v>
      </c>
    </row>
    <row r="85" spans="2:10" x14ac:dyDescent="0.25">
      <c r="C85" t="s">
        <v>101</v>
      </c>
    </row>
    <row r="86" spans="2:10" x14ac:dyDescent="0.25">
      <c r="C86" t="s">
        <v>102</v>
      </c>
    </row>
    <row r="87" spans="2:10" x14ac:dyDescent="0.25">
      <c r="C87" t="s">
        <v>103</v>
      </c>
    </row>
    <row r="88" spans="2:10" x14ac:dyDescent="0.25">
      <c r="C88" t="s">
        <v>104</v>
      </c>
    </row>
    <row r="89" spans="2:10" x14ac:dyDescent="0.25">
      <c r="C89" t="s">
        <v>105</v>
      </c>
    </row>
    <row r="90" spans="2:10" x14ac:dyDescent="0.25">
      <c r="B90" t="s">
        <v>106</v>
      </c>
    </row>
    <row r="91" spans="2:10" x14ac:dyDescent="0.25">
      <c r="C91" t="s">
        <v>108</v>
      </c>
    </row>
    <row r="92" spans="2:10" x14ac:dyDescent="0.25">
      <c r="C92" t="s">
        <v>110</v>
      </c>
      <c r="D92" t="s">
        <v>109</v>
      </c>
      <c r="E92">
        <f>49*H74</f>
        <v>4116</v>
      </c>
      <c r="F92" t="s">
        <v>94</v>
      </c>
      <c r="H92" s="23" t="s">
        <v>127</v>
      </c>
      <c r="I92" s="38" t="s">
        <v>128</v>
      </c>
      <c r="J92" s="23" t="s">
        <v>129</v>
      </c>
    </row>
    <row r="93" spans="2:10" x14ac:dyDescent="0.25">
      <c r="C93" t="s">
        <v>111</v>
      </c>
      <c r="E93" s="34">
        <f>E92/D80*100</f>
        <v>14.606103619588358</v>
      </c>
      <c r="F93" s="35" t="s">
        <v>112</v>
      </c>
      <c r="H93" s="23">
        <f>744/49</f>
        <v>15.183673469387756</v>
      </c>
      <c r="I93" s="38">
        <v>16</v>
      </c>
      <c r="J93" s="23">
        <f>2800*16</f>
        <v>44800</v>
      </c>
    </row>
    <row r="94" spans="2:10" x14ac:dyDescent="0.25">
      <c r="C94" t="s">
        <v>113</v>
      </c>
      <c r="H94" s="23"/>
      <c r="I94" s="38"/>
      <c r="J94" s="23"/>
    </row>
    <row r="95" spans="2:10" x14ac:dyDescent="0.25">
      <c r="C95" t="s">
        <v>110</v>
      </c>
      <c r="D95" t="s">
        <v>114</v>
      </c>
      <c r="E95" s="33">
        <f>98*H74</f>
        <v>8232</v>
      </c>
      <c r="F95" s="33" t="s">
        <v>94</v>
      </c>
      <c r="H95" s="23"/>
      <c r="I95" s="38"/>
      <c r="J95" s="23"/>
    </row>
    <row r="96" spans="2:10" x14ac:dyDescent="0.25">
      <c r="C96" t="s">
        <v>111</v>
      </c>
      <c r="E96" s="34">
        <f>E95/D81*100</f>
        <v>28.633043478260873</v>
      </c>
      <c r="F96" s="35" t="s">
        <v>112</v>
      </c>
      <c r="H96" s="23">
        <f>744/98</f>
        <v>7.591836734693878</v>
      </c>
      <c r="I96" s="38">
        <v>8</v>
      </c>
      <c r="J96" s="23">
        <f>3800*8</f>
        <v>30400</v>
      </c>
    </row>
    <row r="97" spans="2:10" x14ac:dyDescent="0.25">
      <c r="C97" t="s">
        <v>115</v>
      </c>
      <c r="H97" s="23"/>
      <c r="I97" s="38"/>
      <c r="J97" s="23"/>
    </row>
    <row r="98" spans="2:10" x14ac:dyDescent="0.25">
      <c r="C98" t="s">
        <v>110</v>
      </c>
      <c r="D98" t="s">
        <v>116</v>
      </c>
      <c r="E98">
        <f>113*84</f>
        <v>9492</v>
      </c>
      <c r="F98" t="s">
        <v>94</v>
      </c>
      <c r="H98" s="23"/>
      <c r="I98" s="38"/>
      <c r="J98" s="23"/>
    </row>
    <row r="99" spans="2:10" x14ac:dyDescent="0.25">
      <c r="C99" t="s">
        <v>111</v>
      </c>
      <c r="E99" s="34">
        <f>E98/D82*100</f>
        <v>33.235294117647058</v>
      </c>
      <c r="F99" s="35" t="s">
        <v>112</v>
      </c>
      <c r="H99" s="23">
        <f>744/113</f>
        <v>6.5840707964601766</v>
      </c>
      <c r="I99" s="38">
        <v>7</v>
      </c>
      <c r="J99" s="23">
        <f>4000*7</f>
        <v>28000</v>
      </c>
    </row>
    <row r="101" spans="2:10" x14ac:dyDescent="0.25">
      <c r="B101" t="s">
        <v>117</v>
      </c>
    </row>
    <row r="102" spans="2:10" x14ac:dyDescent="0.25">
      <c r="C102" t="s">
        <v>118</v>
      </c>
      <c r="F102" t="s">
        <v>121</v>
      </c>
      <c r="G102" s="9">
        <f>744/113</f>
        <v>6.5840707964601766</v>
      </c>
      <c r="H102" t="s">
        <v>122</v>
      </c>
    </row>
    <row r="103" spans="2:10" x14ac:dyDescent="0.25">
      <c r="E103" s="37" t="s">
        <v>123</v>
      </c>
      <c r="F103" s="37"/>
      <c r="G103" s="37"/>
    </row>
    <row r="105" spans="2:10" x14ac:dyDescent="0.25">
      <c r="B105" t="s">
        <v>124</v>
      </c>
    </row>
    <row r="106" spans="2:10" x14ac:dyDescent="0.25">
      <c r="B106" t="s">
        <v>125</v>
      </c>
    </row>
    <row r="107" spans="2:10" x14ac:dyDescent="0.25">
      <c r="B107" t="s">
        <v>130</v>
      </c>
    </row>
    <row r="108" spans="2:10" x14ac:dyDescent="0.25">
      <c r="B108" t="s">
        <v>126</v>
      </c>
      <c r="C108" t="s">
        <v>131</v>
      </c>
    </row>
  </sheetData>
  <mergeCells count="5">
    <mergeCell ref="A2:H2"/>
    <mergeCell ref="K17:L17"/>
    <mergeCell ref="L27:L30"/>
    <mergeCell ref="L36:L39"/>
    <mergeCell ref="L40:L42"/>
  </mergeCells>
  <pageMargins left="0.39370078740157483" right="0.27559055118110237" top="0.35433070866141736" bottom="0.35433070866141736" header="0.31496062992125984" footer="0.31496062992125984"/>
  <pageSetup scale="74" fitToHeight="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EJEMPLO</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Oviedo Bellot</dc:creator>
  <cp:lastModifiedBy>Ing Oviedo</cp:lastModifiedBy>
  <cp:lastPrinted>2018-08-22T15:34:59Z</cp:lastPrinted>
  <dcterms:created xsi:type="dcterms:W3CDTF">2015-09-08T12:31:05Z</dcterms:created>
  <dcterms:modified xsi:type="dcterms:W3CDTF">2018-08-22T15:35:14Z</dcterms:modified>
</cp:coreProperties>
</file>