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D:\DOCENCIA\DIRECC_SISTEMAS\G_2016\"/>
    </mc:Choice>
  </mc:AlternateContent>
  <bookViews>
    <workbookView xWindow="240" yWindow="15" windowWidth="15480" windowHeight="10170" activeTab="1"/>
  </bookViews>
  <sheets>
    <sheet name="hotel" sheetId="1" r:id="rId1"/>
    <sheet name="viaje_salar" sheetId="2" r:id="rId2"/>
    <sheet name="Hoja3" sheetId="3" r:id="rId3"/>
  </sheets>
  <calcPr calcId="162913"/>
</workbook>
</file>

<file path=xl/calcChain.xml><?xml version="1.0" encoding="utf-8"?>
<calcChain xmlns="http://schemas.openxmlformats.org/spreadsheetml/2006/main">
  <c r="E38" i="1" l="1"/>
  <c r="D28" i="2"/>
  <c r="C47" i="1" l="1"/>
  <c r="F10" i="1"/>
  <c r="G10" i="1" s="1"/>
  <c r="F11" i="1"/>
  <c r="G11" i="1"/>
  <c r="F12" i="1"/>
  <c r="G12" i="1"/>
  <c r="C13" i="1"/>
  <c r="C27" i="1"/>
  <c r="E39" i="1"/>
  <c r="C62" i="1" s="1"/>
  <c r="D47" i="1"/>
  <c r="C63" i="1" s="1"/>
  <c r="C52" i="1"/>
  <c r="E52" i="1"/>
  <c r="E54" i="1" s="1"/>
  <c r="E55" i="1" s="1"/>
  <c r="E56" i="1" s="1"/>
  <c r="C64" i="1" s="1"/>
  <c r="E53" i="1"/>
  <c r="E76" i="1"/>
  <c r="E22" i="2"/>
  <c r="F22" i="2" s="1"/>
  <c r="D23" i="2"/>
  <c r="E23" i="2" s="1"/>
  <c r="F23" i="2" s="1"/>
  <c r="E24" i="2"/>
  <c r="F24" i="2" s="1"/>
  <c r="E25" i="2"/>
  <c r="F25" i="2" s="1"/>
  <c r="E26" i="2"/>
  <c r="F26" i="2" s="1"/>
  <c r="E27" i="2"/>
  <c r="F27" i="2" s="1"/>
  <c r="F28" i="2"/>
  <c r="E29" i="2"/>
  <c r="F29" i="2"/>
  <c r="E30" i="2"/>
  <c r="F30" i="2"/>
  <c r="E31" i="2"/>
  <c r="F31" i="2"/>
  <c r="E32" i="2"/>
  <c r="F32" i="2"/>
  <c r="E33" i="2"/>
  <c r="F33" i="2"/>
  <c r="G48" i="2"/>
  <c r="G13" i="1" l="1"/>
  <c r="D27" i="1" s="1"/>
  <c r="E27" i="1" s="1"/>
  <c r="F27" i="1" s="1"/>
  <c r="C61" i="1" s="1"/>
  <c r="F34" i="2"/>
  <c r="F36" i="2" s="1"/>
  <c r="C65" i="1"/>
  <c r="F38" i="2" l="1"/>
  <c r="F39" i="2" s="1"/>
  <c r="F40" i="2" s="1"/>
  <c r="F37" i="2"/>
  <c r="C66" i="1"/>
  <c r="C68" i="1" s="1"/>
  <c r="F76" i="1" s="1"/>
  <c r="G76" i="1" s="1"/>
  <c r="F42" i="2" l="1"/>
  <c r="H42" i="2" s="1"/>
  <c r="F48" i="2"/>
  <c r="H48" i="2" s="1"/>
  <c r="F44" i="2" l="1"/>
  <c r="F47" i="2" s="1"/>
  <c r="G47" i="2" s="1"/>
</calcChain>
</file>

<file path=xl/sharedStrings.xml><?xml version="1.0" encoding="utf-8"?>
<sst xmlns="http://schemas.openxmlformats.org/spreadsheetml/2006/main" count="181" uniqueCount="158">
  <si>
    <t>ITEM</t>
  </si>
  <si>
    <t>DESCRIPCION</t>
  </si>
  <si>
    <t>INVERSION US$ (l)</t>
  </si>
  <si>
    <t>VIDA UTIL (AÑOS) (VU)</t>
  </si>
  <si>
    <t>VALOR DE REPOSICIÓN US$ (VC)</t>
  </si>
  <si>
    <t>DEPRECIAC. ANUAL US$ (DA)</t>
  </si>
  <si>
    <t xml:space="preserve">VALOR RESIDUAL (valor de venta al final de vida util US$)(VR) </t>
  </si>
  <si>
    <t>Obras civiles (caseta para el grupo)</t>
  </si>
  <si>
    <t xml:space="preserve">Instalaciones necesarias eléctricas adicionales </t>
  </si>
  <si>
    <t>COSTO DE FUNCIONAMIENTO DEL EQUIPO</t>
  </si>
  <si>
    <t>REFERENCIAS:</t>
  </si>
  <si>
    <t>1 = Se refiere al monto de inversión que la Gerencia ha decidido sg. Recomendación de una consultora técnica.</t>
  </si>
  <si>
    <t xml:space="preserve">3 = Es el valor al final de la vida útil, es el valor de mercado que se puede conseguir vendiendo u obteniendo un </t>
  </si>
  <si>
    <t>valor en el estado en que se encuentra.</t>
  </si>
  <si>
    <t xml:space="preserve">4 = Es el valor de reposición que se debe prever o retornar mediante la depreciación para comprar otro equipo </t>
  </si>
  <si>
    <t>similar. VC = I - VR</t>
  </si>
  <si>
    <t>5 = Depreciación anual DA = VC/VU</t>
  </si>
  <si>
    <t>DA</t>
  </si>
  <si>
    <t>TOTAL</t>
  </si>
  <si>
    <t>Monto total de la inversión</t>
  </si>
  <si>
    <t>I</t>
  </si>
  <si>
    <t>DEPREC. MENSUAL (DM)</t>
  </si>
  <si>
    <t>HORAS DE FUNCIONAMIENTO DEL EQUIPO</t>
  </si>
  <si>
    <t>INVERSION Y DEPRECIACIÓN DE LA INVERSIÓN</t>
  </si>
  <si>
    <t xml:space="preserve"> - Adicionalmente, por la nueva situación de la crisis energética se prevé que habrán cortes no anunciados y anunciados por </t>
  </si>
  <si>
    <t>10 horas/mes.</t>
  </si>
  <si>
    <t>PERSONAL</t>
  </si>
  <si>
    <t>Para atención del grupo generador, tiene que ser un técnico electromecánico</t>
  </si>
  <si>
    <t>CANT.</t>
  </si>
  <si>
    <t>SUELDO MES Bs.</t>
  </si>
  <si>
    <t>Técnico electromecánico para atención y mantenimientos livianos del grupo generador.</t>
  </si>
  <si>
    <t>COSTO EMPRESA Bs./MES *</t>
  </si>
  <si>
    <t>*</t>
  </si>
  <si>
    <t>DEPREC. MENSUAL EN Bs.</t>
  </si>
  <si>
    <t>SERVICIOS DE MANTENIMIENTO POR GARANTÍA</t>
  </si>
  <si>
    <t xml:space="preserve">Según la experiencia los servicios de mantenimiento para un equipo nuevo mientras esté en plazo de garantía y se cumplan con </t>
  </si>
  <si>
    <t>las recomendaciones del fabricante, se considera como un 5% del valor de compra/año.</t>
  </si>
  <si>
    <t xml:space="preserve">60.000 * 5% = 3000 US$/año </t>
  </si>
  <si>
    <t>Monto por mantenimiento mensual  US$</t>
  </si>
  <si>
    <t>Bs/mes</t>
  </si>
  <si>
    <t>COSTOS OPERACIONALES PARA FUNCIONAMIENTO DEL EQUIPO</t>
  </si>
  <si>
    <t>COSTO Bs/lt</t>
  </si>
  <si>
    <t>COSTO TOTAL MES Bs</t>
  </si>
  <si>
    <t xml:space="preserve">Aceite de motor, un cambio cada mes </t>
  </si>
  <si>
    <t>RESUMEN DE COSTOS OPERATIVOS</t>
  </si>
  <si>
    <t>NRO.</t>
  </si>
  <si>
    <t>DETALLE</t>
  </si>
  <si>
    <t>Costo de funcionamiento</t>
  </si>
  <si>
    <t>Costo de personal</t>
  </si>
  <si>
    <t>Costo por mantenimiento</t>
  </si>
  <si>
    <t>Costo operacional</t>
  </si>
  <si>
    <t>SUBTOTAL</t>
  </si>
  <si>
    <t>IMPREVISTOS 20%</t>
  </si>
  <si>
    <t xml:space="preserve"> En estos imprevistos se considera la compra de herramientas, algunos </t>
  </si>
  <si>
    <t>TASA DE OCUPACION DEL HOTEL</t>
  </si>
  <si>
    <t>de las 200 disponibles.</t>
  </si>
  <si>
    <t>Entonces:</t>
  </si>
  <si>
    <t>TASA OCUPAC.</t>
  </si>
  <si>
    <t>CAPACIDAD CAMAS</t>
  </si>
  <si>
    <t>OCUPACION REAL MES</t>
  </si>
  <si>
    <t>INCREMENTO POR CLIENTE Bs</t>
  </si>
  <si>
    <t>INCREMEN. POR CLIENTE US$</t>
  </si>
  <si>
    <t>CONCLUSIONES</t>
  </si>
  <si>
    <t xml:space="preserve">Como Ingenieros Comerciales podemos sugerir a la Gerencia soluciones mas creativas y prácticas, ejemplo: </t>
  </si>
  <si>
    <t xml:space="preserve"> - Es posible trabajar para mejorar el promedio de la Tasa de Ocupación, que es una labor del Ingeniero Comercial a traves</t>
  </si>
  <si>
    <t xml:space="preserve">de paquetes, incentivos, marketing etc. </t>
  </si>
  <si>
    <t>(esto puede mejorar en el tiempo)</t>
  </si>
  <si>
    <t xml:space="preserve"> - Hagan un ejercicio cambiando el item 2 del cuadro 7, poniendo 0 ; y también mejorando la tasa de ocupación a un 65%</t>
  </si>
  <si>
    <t>Le piden:  calcular los costos operativos del equipo y en qué medida se incrementará la tarifa al cliente por esta inversión?</t>
  </si>
  <si>
    <t xml:space="preserve">PROBLEMA: Ud. Trabaja en el área comercial de un prestigioso hotel 5* y por la crisis energética que esta afectando al país, le piden que calcule la influencia de una inversión que harán comprando un grupo generador que produzca energía cuando se corte la luz en la red principal. El grupo generador entrará en funcionamiento en forma automática cuando se produzca el corte. De esta manera el hotel podrá mantener su estándar de calidad de atención con el funcionamiento de todos sus sistemas eléctricos y electrónicos. </t>
  </si>
  <si>
    <t>La tarifa de precio por persona promedio es de 85 US$ (en época alta suben hasta US$ 120 y con baja demanda ofrecen paquetes hasta en 58 US$.)</t>
  </si>
  <si>
    <t xml:space="preserve"> - Si se compra un equipo nuevo, debe funcionar diariamente al menos por 10 min. Para tener siempre en condiciones el equipo.</t>
  </si>
  <si>
    <t xml:space="preserve"> - Entonces el total de Hrs./mes que el grupo debe funcionar es: 10 + (10*30)/60 = 15  </t>
  </si>
  <si>
    <t>hrs/mes</t>
  </si>
  <si>
    <t>Combustible diesel para el motor. Si según catálogo el motor consume 25 lts/hora</t>
  </si>
  <si>
    <t>VOLUMEN TOTAL LTS./mes</t>
  </si>
  <si>
    <t xml:space="preserve">Varios 10% </t>
  </si>
  <si>
    <t>materiales Y repuestos de reposición y gastos administrativos</t>
  </si>
  <si>
    <t>Ocupacion promedio de la capacidad instalada del Hotel</t>
  </si>
  <si>
    <t xml:space="preserve"> - En vez de contratar una persona externa para la atención del grupo, se puede sugerir una capacitación de nuestro</t>
  </si>
  <si>
    <t>propio personal, pues al final son solamente  15 hrs/mes de atención.</t>
  </si>
  <si>
    <t xml:space="preserve"> - Con estos datos que estan en fórmula se obtiene que el incremento por cliente se reduce a US$ 0,50</t>
  </si>
  <si>
    <t>EJEMPLO DE COSTOS OPERACIONALES EN EL FUNCIONAMIENTO DE UN GRUPO GENERADOR DE ENERGÍA ELECTRICA PARA IMPLEMENTACION EN UN HOTEL</t>
  </si>
  <si>
    <t xml:space="preserve"> - El Tour entre Uyuni-salar-las lagunas-Uyuni cuesta US$ 120 por persona que toma en cuenta alimentac. Y hospedaje.</t>
  </si>
  <si>
    <t xml:space="preserve"> - Según información turística y necesidades del tour, el itinerario es:</t>
  </si>
  <si>
    <t>Dia 1</t>
  </si>
  <si>
    <t>salida de LP en bus Hrs. 10,00; llegada a Oruro hrs. 14,00</t>
  </si>
  <si>
    <t>Dia 2</t>
  </si>
  <si>
    <t>salida de Or. En tren hrs. 15,30, llegada a Uyuni hrs. 22,30</t>
  </si>
  <si>
    <t>Salida de Uyuni en vagonetas al salar y lagunas hrs. 9,00</t>
  </si>
  <si>
    <t>Dia 3</t>
  </si>
  <si>
    <t>paseo por las lagunas</t>
  </si>
  <si>
    <t>Dia 4</t>
  </si>
  <si>
    <t>retorno a Uyuni a hrs. 16,30.</t>
  </si>
  <si>
    <t>retorno de Uyuni a Or. Hrs. 23,20 en tren.</t>
  </si>
  <si>
    <t>Dia 5</t>
  </si>
  <si>
    <t xml:space="preserve"> - El transporte de Lp-Or, se paga a una empresa con un buen servicio Bs. 2500 en un bus con capac. para 35 personas.</t>
  </si>
  <si>
    <t>Con estos datos debo obtener el precio del servicio por persona.</t>
  </si>
  <si>
    <t>DESCRIP. GASTO</t>
  </si>
  <si>
    <t>MONTO EN BS.</t>
  </si>
  <si>
    <t>MONTO US$</t>
  </si>
  <si>
    <t>MONTO US$ PERS.</t>
  </si>
  <si>
    <t>Pasaje en tren Or-Uy.-Or</t>
  </si>
  <si>
    <t>Alimentación en viaje 70 bs</t>
  </si>
  <si>
    <t>Tour día 2, 3 y 4</t>
  </si>
  <si>
    <t>Hospedaje dia 4 de 16,30 a 22,00*</t>
  </si>
  <si>
    <t>Idem item 5</t>
  </si>
  <si>
    <t>Alimentación en Uyuni Bs. 120</t>
  </si>
  <si>
    <t>Desayuno  día 5 en tren Bs.18</t>
  </si>
  <si>
    <t>Idem item 1</t>
  </si>
  <si>
    <t>subtotal 1</t>
  </si>
  <si>
    <t>Otros gastos imprevistos 10%</t>
  </si>
  <si>
    <t>Gastos administrativos 25%</t>
  </si>
  <si>
    <t>subtotal 2</t>
  </si>
  <si>
    <t>Costo real pax US$</t>
  </si>
  <si>
    <t>utilidad de empresa 30%</t>
  </si>
  <si>
    <t>Precio anunciado US$</t>
  </si>
  <si>
    <t>OBSERVACIONES Y/O ACCIONES</t>
  </si>
  <si>
    <t>Con seguro de vida</t>
  </si>
  <si>
    <t>Cena de retorno y despedida</t>
  </si>
  <si>
    <t>utilidad de oportunidad = 5000 US$</t>
  </si>
  <si>
    <t>rango de precio</t>
  </si>
  <si>
    <t>US$ min.</t>
  </si>
  <si>
    <t>US$ max.</t>
  </si>
  <si>
    <t>POR PERSONA</t>
  </si>
  <si>
    <t>PRECIO DEL PAQUETE = US$  17204 A 18234</t>
  </si>
  <si>
    <t>COSTOS PARA UN TOUR AL SALAR DE UYUNI</t>
  </si>
  <si>
    <t>retorno de Oruro a LP en bus hrs. 7,45, llegada a LP hrs. 12,00</t>
  </si>
  <si>
    <t>1. ESCENARIO DE COSTOS</t>
  </si>
  <si>
    <t>El hotel tiene una capacidad instalada de 200 camas y una tasa de ocupación del 60% promedio/año. Un especialista determinó las siguientes características del grupo generador: capacidad 350 KVA;  precio de mercado = 50.000 US$; sistemas de protección = 10.000 US$;  Instalaciones eléctricas adicionales = 5.000 US$.</t>
  </si>
  <si>
    <t>Grupo generador completo con sus sistemas de protección (50000+10000)</t>
  </si>
  <si>
    <r>
      <t xml:space="preserve">2 = Se saca de tablas, en algunos casos esta normado y en otros debemos decidir según la duración y el </t>
    </r>
    <r>
      <rPr>
        <u/>
        <sz val="11"/>
        <color theme="1"/>
        <rFont val="Calibri"/>
        <family val="2"/>
        <scheme val="minor"/>
      </rPr>
      <t xml:space="preserve">mantenimiento </t>
    </r>
    <r>
      <rPr>
        <sz val="11"/>
        <color theme="1"/>
        <rFont val="Calibri"/>
        <family val="2"/>
        <scheme val="minor"/>
      </rPr>
      <t>del bien</t>
    </r>
  </si>
  <si>
    <t xml:space="preserve"> = Resulta de previsionar 3 salarios adicionales: Doble aguinaldo y la Prima</t>
  </si>
  <si>
    <t>Según estadísticas la ocupación en el Hotel en promedio es un 60%; es decir que durante todos los días estan ocupadas 120 camas</t>
  </si>
  <si>
    <t xml:space="preserve"> - El paquete es para 30 turistas de la tercera edad, personas que exigen un buen servicio y pagan por ello.</t>
  </si>
  <si>
    <t xml:space="preserve"> - El precio del pasaje en tren Or-Uyuni-Or es de Bs. 224 por persona en clase ejecutiva de ferrocarriles</t>
  </si>
  <si>
    <t>Transp. LP-Or</t>
  </si>
  <si>
    <t xml:space="preserve">Refrigerio en viaje Lp-Or 15bs. </t>
  </si>
  <si>
    <t>Trasporte al Hotel en Uyuni (micro)</t>
  </si>
  <si>
    <t xml:space="preserve">Hospedaje Hotel 3 estrellas. </t>
  </si>
  <si>
    <t>UTIL.TOT</t>
  </si>
  <si>
    <t>ACCIONES PARA MEJORAR LA OFERTA</t>
  </si>
  <si>
    <t>No es posible, el monto no es significativo</t>
  </si>
  <si>
    <t>El pasaje es fijo sin rebajas</t>
  </si>
  <si>
    <t xml:space="preserve">No vale la pena </t>
  </si>
  <si>
    <t xml:space="preserve">No </t>
  </si>
  <si>
    <t>No</t>
  </si>
  <si>
    <t>Se puede negociar algo con la empresa de transporte, el precio por persona es de Bs. 83; tal vez bajar un 15%</t>
  </si>
  <si>
    <t>Tambien negociar con el Hotel, y pagar solo por las horas de ocupac.</t>
  </si>
  <si>
    <t>idem a item 1</t>
  </si>
  <si>
    <t>Si esta todo previsto, esto se puede bajar hasta 5%</t>
  </si>
  <si>
    <t>Toda la gestión la harán máximo dos personas.</t>
  </si>
  <si>
    <t>Tasas e impuestos 16,5%</t>
  </si>
  <si>
    <t>No se debe eludir las tasas</t>
  </si>
  <si>
    <t xml:space="preserve"> - Se debe incrementar la tarifa al cliente en 0,88 US$ para financiar la inversión total de US$ 71.000.</t>
  </si>
  <si>
    <t xml:space="preserve"> - El nuevo precio del hospedaje promedio será US$ 85,88  ?????</t>
  </si>
  <si>
    <t>PREGUNTA:  Valdrá la pena "transferir" al cliente estos gastos de inversión e incrementar 0,88US$ en la tarifa del Hotel?.</t>
  </si>
  <si>
    <t>Me piden elaborar los costos y determinar el precio de un paquete completo (transporte, alimentación, refrigerio y hospedaje) ofertado a turistas al Salar de Uyuni. Los datos son los siguientes: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</si>
</sst>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indexed="8"/>
      <name val="Calibri"/>
      <family val="2"/>
    </font>
    <font>
      <b/>
      <sz val="11"/>
      <name val="Calibri"/>
      <family val="2"/>
    </font>
    <font>
      <sz val="10"/>
      <color indexed="8"/>
      <name val="Calibri"/>
      <family val="2"/>
    </font>
    <font>
      <b/>
      <sz val="10"/>
      <color indexed="8"/>
      <name val="Calibri"/>
      <family val="2"/>
    </font>
    <font>
      <sz val="10"/>
      <color indexed="9"/>
      <name val="Calibri"/>
      <family val="2"/>
    </font>
    <font>
      <u/>
      <sz val="11"/>
      <color theme="1"/>
      <name val="Calibri"/>
      <family val="2"/>
      <scheme val="minor"/>
    </font>
    <font>
      <sz val="10"/>
      <color rgb="FFFF0000"/>
      <name val="Calibri"/>
      <family val="2"/>
    </font>
  </fonts>
  <fills count="7">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12"/>
        <bgColor indexed="64"/>
      </patternFill>
    </fill>
    <fill>
      <patternFill patternType="solid">
        <fgColor indexed="1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108">
    <xf numFmtId="0" fontId="0" fillId="0" borderId="0" xfId="0"/>
    <xf numFmtId="0" fontId="0" fillId="0" borderId="0" xfId="0" applyFont="1"/>
    <xf numFmtId="0" fontId="1" fillId="0" borderId="0" xfId="0" applyFont="1" applyAlignment="1"/>
    <xf numFmtId="0" fontId="0"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2" fontId="0" fillId="0" borderId="0" xfId="0" applyNumberFormat="1" applyFont="1" applyAlignment="1">
      <alignment wrapText="1"/>
    </xf>
    <xf numFmtId="2" fontId="1" fillId="0" borderId="0" xfId="0" applyNumberFormat="1" applyFont="1" applyAlignment="1"/>
    <xf numFmtId="2" fontId="1" fillId="0" borderId="0" xfId="0" applyNumberFormat="1" applyFont="1" applyAlignment="1">
      <alignment wrapText="1"/>
    </xf>
    <xf numFmtId="0" fontId="0" fillId="0" borderId="0" xfId="0" applyFont="1" applyAlignment="1"/>
    <xf numFmtId="0" fontId="1" fillId="0" borderId="0" xfId="0" applyFont="1" applyAlignment="1">
      <alignment wrapText="1"/>
    </xf>
    <xf numFmtId="0" fontId="1" fillId="0" borderId="0" xfId="0" applyFont="1"/>
    <xf numFmtId="0" fontId="0" fillId="0" borderId="0" xfId="0" applyAlignment="1"/>
    <xf numFmtId="0" fontId="0" fillId="0" borderId="0" xfId="0" applyAlignment="1">
      <alignment wrapText="1"/>
    </xf>
    <xf numFmtId="0" fontId="0" fillId="0" borderId="0" xfId="0" applyAlignment="1">
      <alignment horizontal="right" wrapText="1"/>
    </xf>
    <xf numFmtId="0" fontId="1" fillId="0" borderId="0" xfId="0" applyFont="1" applyAlignment="1">
      <alignment horizontal="right" wrapText="1"/>
    </xf>
    <xf numFmtId="0" fontId="0" fillId="0" borderId="0" xfId="0" applyAlignment="1">
      <alignment horizontal="right"/>
    </xf>
    <xf numFmtId="2" fontId="0" fillId="0" borderId="0" xfId="0" applyNumberFormat="1" applyAlignment="1">
      <alignment wrapText="1"/>
    </xf>
    <xf numFmtId="0" fontId="1" fillId="0" borderId="1" xfId="0" applyFont="1" applyBorder="1" applyAlignment="1">
      <alignment horizontal="center" wrapText="1"/>
    </xf>
    <xf numFmtId="0" fontId="0" fillId="0" borderId="1" xfId="0" applyFont="1" applyBorder="1" applyAlignment="1">
      <alignment wrapText="1"/>
    </xf>
    <xf numFmtId="2" fontId="0" fillId="0" borderId="1" xfId="0" applyNumberFormat="1" applyFont="1" applyBorder="1" applyAlignment="1">
      <alignment wrapText="1"/>
    </xf>
    <xf numFmtId="0" fontId="0" fillId="0" borderId="2" xfId="0" applyFont="1" applyBorder="1" applyAlignment="1">
      <alignment wrapText="1"/>
    </xf>
    <xf numFmtId="2" fontId="0" fillId="0" borderId="2" xfId="0" applyNumberFormat="1" applyFont="1" applyBorder="1" applyAlignment="1">
      <alignment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2" fontId="0" fillId="0" borderId="6" xfId="0" applyNumberFormat="1" applyFont="1" applyBorder="1" applyAlignment="1">
      <alignment wrapText="1"/>
    </xf>
    <xf numFmtId="2" fontId="1" fillId="0" borderId="7" xfId="0" applyNumberFormat="1" applyFont="1" applyBorder="1" applyAlignment="1">
      <alignment wrapText="1"/>
    </xf>
    <xf numFmtId="0" fontId="0" fillId="0" borderId="1" xfId="0" applyBorder="1" applyAlignment="1">
      <alignment wrapText="1"/>
    </xf>
    <xf numFmtId="0" fontId="0" fillId="0" borderId="2" xfId="0" applyBorder="1" applyAlignment="1">
      <alignment wrapText="1"/>
    </xf>
    <xf numFmtId="0" fontId="2" fillId="0" borderId="4" xfId="0" applyFont="1" applyBorder="1" applyAlignment="1">
      <alignment horizontal="center" wrapText="1"/>
    </xf>
    <xf numFmtId="2" fontId="1" fillId="0" borderId="8" xfId="0" applyNumberFormat="1" applyFont="1" applyBorder="1" applyAlignment="1">
      <alignment horizontal="right" wrapText="1"/>
    </xf>
    <xf numFmtId="0" fontId="0" fillId="0" borderId="6" xfId="0" applyFont="1" applyBorder="1" applyAlignment="1">
      <alignment wrapText="1"/>
    </xf>
    <xf numFmtId="164" fontId="1" fillId="2" borderId="2" xfId="0" applyNumberFormat="1" applyFont="1" applyFill="1" applyBorder="1" applyAlignment="1">
      <alignment wrapText="1"/>
    </xf>
    <xf numFmtId="2" fontId="1" fillId="2" borderId="9" xfId="0" applyNumberFormat="1" applyFont="1" applyFill="1" applyBorder="1" applyAlignment="1">
      <alignment wrapText="1"/>
    </xf>
    <xf numFmtId="2" fontId="1" fillId="2" borderId="9" xfId="0" applyNumberFormat="1" applyFont="1" applyFill="1" applyBorder="1" applyAlignment="1">
      <alignment horizontal="right" wrapText="1"/>
    </xf>
    <xf numFmtId="2" fontId="1" fillId="2" borderId="0" xfId="0" applyNumberFormat="1" applyFont="1" applyFill="1" applyAlignment="1">
      <alignment wrapText="1"/>
    </xf>
    <xf numFmtId="0" fontId="1" fillId="0" borderId="1" xfId="0" applyFont="1" applyBorder="1" applyAlignment="1">
      <alignment horizontal="right" wrapText="1"/>
    </xf>
    <xf numFmtId="2" fontId="1" fillId="0" borderId="1" xfId="0" applyNumberFormat="1" applyFont="1" applyBorder="1" applyAlignment="1">
      <alignment wrapText="1"/>
    </xf>
    <xf numFmtId="0" fontId="1" fillId="3" borderId="8" xfId="0" applyFont="1" applyFill="1" applyBorder="1" applyAlignment="1">
      <alignment horizontal="right" wrapText="1"/>
    </xf>
    <xf numFmtId="2" fontId="1" fillId="3" borderId="9" xfId="0" applyNumberFormat="1" applyFont="1" applyFill="1" applyBorder="1" applyAlignment="1">
      <alignment wrapText="1"/>
    </xf>
    <xf numFmtId="9" fontId="0" fillId="0" borderId="2" xfId="0" applyNumberFormat="1" applyFont="1" applyBorder="1" applyAlignment="1">
      <alignment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2" fontId="1" fillId="4" borderId="2" xfId="0" applyNumberFormat="1" applyFont="1" applyFill="1" applyBorder="1" applyAlignment="1">
      <alignment wrapText="1"/>
    </xf>
    <xf numFmtId="0" fontId="1" fillId="0" borderId="0" xfId="0" applyFont="1" applyFill="1" applyBorder="1" applyAlignment="1"/>
    <xf numFmtId="0" fontId="0" fillId="3" borderId="0" xfId="0" applyFont="1" applyFill="1" applyAlignment="1"/>
    <xf numFmtId="0" fontId="0" fillId="3" borderId="0" xfId="0" applyFill="1" applyAlignment="1"/>
    <xf numFmtId="0" fontId="0" fillId="0" borderId="0" xfId="0" applyAlignment="1">
      <alignment horizontal="left" wrapText="1"/>
    </xf>
    <xf numFmtId="0" fontId="0" fillId="0" borderId="0" xfId="0" applyFill="1" applyAlignment="1"/>
    <xf numFmtId="2" fontId="0" fillId="0" borderId="6" xfId="0" applyNumberFormat="1" applyFont="1" applyBorder="1" applyAlignment="1">
      <alignment wrapText="1"/>
    </xf>
    <xf numFmtId="0" fontId="0" fillId="0" borderId="10" xfId="0" applyFont="1" applyBorder="1" applyAlignment="1">
      <alignment wrapText="1"/>
    </xf>
    <xf numFmtId="0" fontId="0" fillId="0" borderId="1" xfId="0" applyBorder="1" applyAlignment="1">
      <alignment horizontal="right" wrapText="1"/>
    </xf>
    <xf numFmtId="0" fontId="1" fillId="2" borderId="8" xfId="0" applyFont="1" applyFill="1" applyBorder="1" applyAlignment="1">
      <alignment horizontal="right" wrapText="1"/>
    </xf>
    <xf numFmtId="0" fontId="3" fillId="0" borderId="0" xfId="0" applyFont="1"/>
    <xf numFmtId="2" fontId="3" fillId="0" borderId="0" xfId="0" applyNumberFormat="1" applyFont="1"/>
    <xf numFmtId="0" fontId="3" fillId="0" borderId="1" xfId="0" applyFont="1" applyBorder="1"/>
    <xf numFmtId="0" fontId="3" fillId="0" borderId="1" xfId="0" applyFont="1" applyBorder="1" applyAlignment="1">
      <alignment wrapText="1"/>
    </xf>
    <xf numFmtId="2" fontId="3" fillId="0" borderId="1" xfId="0" applyNumberFormat="1" applyFont="1" applyBorder="1" applyAlignment="1">
      <alignment wrapText="1"/>
    </xf>
    <xf numFmtId="2" fontId="3" fillId="0" borderId="1" xfId="0" applyNumberFormat="1" applyFont="1" applyBorder="1"/>
    <xf numFmtId="0" fontId="3" fillId="0" borderId="2" xfId="0" applyFont="1" applyBorder="1"/>
    <xf numFmtId="0" fontId="3" fillId="0" borderId="2" xfId="0" applyFont="1" applyBorder="1" applyAlignment="1">
      <alignment wrapText="1"/>
    </xf>
    <xf numFmtId="2" fontId="3" fillId="0" borderId="2" xfId="0" applyNumberFormat="1" applyFont="1" applyBorder="1" applyAlignment="1">
      <alignment wrapText="1"/>
    </xf>
    <xf numFmtId="0" fontId="4" fillId="0" borderId="3" xfId="0" applyFont="1" applyBorder="1"/>
    <xf numFmtId="0" fontId="4" fillId="0" borderId="4" xfId="0" applyFont="1" applyBorder="1" applyAlignment="1">
      <alignment horizontal="center" wrapText="1"/>
    </xf>
    <xf numFmtId="0" fontId="4" fillId="0" borderId="5" xfId="0" applyFont="1" applyBorder="1" applyAlignment="1">
      <alignment horizontal="center" wrapText="1"/>
    </xf>
    <xf numFmtId="2" fontId="3" fillId="0" borderId="6" xfId="0" applyNumberFormat="1" applyFont="1" applyBorder="1"/>
    <xf numFmtId="0" fontId="4" fillId="0" borderId="8" xfId="0" applyFont="1" applyBorder="1"/>
    <xf numFmtId="2" fontId="4" fillId="0" borderId="9" xfId="0" applyNumberFormat="1" applyFont="1" applyBorder="1"/>
    <xf numFmtId="0" fontId="3" fillId="0" borderId="8" xfId="0" applyFont="1" applyBorder="1"/>
    <xf numFmtId="2" fontId="3" fillId="0" borderId="9" xfId="0" applyNumberFormat="1" applyFont="1" applyBorder="1"/>
    <xf numFmtId="0" fontId="3" fillId="0" borderId="13" xfId="0" applyFont="1" applyBorder="1"/>
    <xf numFmtId="0" fontId="3" fillId="2" borderId="8" xfId="0" applyFont="1" applyFill="1" applyBorder="1"/>
    <xf numFmtId="0" fontId="3" fillId="2" borderId="13" xfId="0" applyFont="1" applyFill="1" applyBorder="1"/>
    <xf numFmtId="2" fontId="3" fillId="2" borderId="9" xfId="0" applyNumberFormat="1" applyFont="1" applyFill="1" applyBorder="1"/>
    <xf numFmtId="1" fontId="3" fillId="0" borderId="0" xfId="0" applyNumberFormat="1" applyFont="1"/>
    <xf numFmtId="0" fontId="5" fillId="5" borderId="0" xfId="0" applyFont="1" applyFill="1"/>
    <xf numFmtId="1" fontId="5" fillId="5" borderId="0" xfId="0" applyNumberFormat="1" applyFont="1" applyFill="1"/>
    <xf numFmtId="0" fontId="4" fillId="0" borderId="0" xfId="0" applyFont="1"/>
    <xf numFmtId="2" fontId="3" fillId="0" borderId="0" xfId="0" applyNumberFormat="1" applyFont="1" applyAlignment="1">
      <alignment horizontal="right"/>
    </xf>
    <xf numFmtId="0" fontId="4" fillId="0" borderId="8" xfId="0" applyFont="1" applyBorder="1" applyAlignment="1">
      <alignment horizontal="center" wrapText="1"/>
    </xf>
    <xf numFmtId="0" fontId="3" fillId="0" borderId="14" xfId="0" applyFont="1" applyBorder="1" applyAlignment="1">
      <alignment wrapText="1"/>
    </xf>
    <xf numFmtId="0" fontId="3" fillId="0" borderId="11" xfId="0" applyFont="1" applyBorder="1" applyAlignment="1">
      <alignment wrapText="1"/>
    </xf>
    <xf numFmtId="0" fontId="3" fillId="0" borderId="11" xfId="0" applyFont="1" applyBorder="1"/>
    <xf numFmtId="0" fontId="4" fillId="0" borderId="5" xfId="0" applyFont="1" applyBorder="1"/>
    <xf numFmtId="2" fontId="0" fillId="0" borderId="1" xfId="0" applyNumberFormat="1" applyFont="1" applyBorder="1" applyAlignment="1">
      <alignment horizontal="right"/>
    </xf>
    <xf numFmtId="2" fontId="0" fillId="0" borderId="6" xfId="0" applyNumberFormat="1" applyFont="1" applyBorder="1" applyAlignment="1">
      <alignment horizontal="right"/>
    </xf>
    <xf numFmtId="0" fontId="0" fillId="0" borderId="1" xfId="0" applyBorder="1" applyAlignment="1">
      <alignment horizontal="right"/>
    </xf>
    <xf numFmtId="0" fontId="0" fillId="0" borderId="6" xfId="0" applyBorder="1" applyAlignment="1">
      <alignment horizontal="right"/>
    </xf>
    <xf numFmtId="0" fontId="1" fillId="0" borderId="0" xfId="0" applyFont="1" applyAlignment="1">
      <alignment horizontal="center" wrapText="1"/>
    </xf>
    <xf numFmtId="0" fontId="0" fillId="0" borderId="0" xfId="0" applyAlignment="1">
      <alignment horizontal="left" wrapText="1"/>
    </xf>
    <xf numFmtId="0" fontId="0" fillId="0" borderId="0" xfId="0" applyFont="1" applyAlignment="1">
      <alignment horizontal="left" wrapText="1"/>
    </xf>
    <xf numFmtId="0" fontId="1"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4" fillId="6" borderId="8" xfId="0" applyFont="1" applyFill="1" applyBorder="1" applyAlignment="1">
      <alignment horizontal="center"/>
    </xf>
    <xf numFmtId="0" fontId="4" fillId="6" borderId="13" xfId="0" applyFont="1" applyFill="1" applyBorder="1" applyAlignment="1">
      <alignment horizontal="center"/>
    </xf>
    <xf numFmtId="0" fontId="4" fillId="6" borderId="9" xfId="0" applyFont="1" applyFill="1" applyBorder="1" applyAlignment="1">
      <alignment horizontal="center"/>
    </xf>
    <xf numFmtId="0" fontId="4" fillId="0" borderId="0" xfId="0" applyFont="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4" fillId="0" borderId="4" xfId="0" applyFont="1" applyBorder="1" applyAlignment="1">
      <alignment horizontal="center"/>
    </xf>
    <xf numFmtId="0" fontId="3" fillId="0" borderId="2" xfId="0" applyFont="1" applyBorder="1" applyAlignment="1">
      <alignment horizontal="left" wrapText="1"/>
    </xf>
    <xf numFmtId="0" fontId="7" fillId="0" borderId="1" xfId="0" applyFont="1" applyBorder="1" applyAlignment="1">
      <alignment wrapText="1"/>
    </xf>
    <xf numFmtId="0" fontId="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topLeftCell="A76" zoomScaleNormal="100" workbookViewId="0">
      <selection activeCell="H85" sqref="H85"/>
    </sheetView>
  </sheetViews>
  <sheetFormatPr baseColWidth="10" defaultRowHeight="15" x14ac:dyDescent="0.25"/>
  <cols>
    <col min="1" max="1" width="6" style="3" customWidth="1"/>
    <col min="2" max="2" width="38.140625" style="3" customWidth="1"/>
    <col min="3" max="3" width="10.7109375" style="3" customWidth="1"/>
    <col min="4" max="4" width="12.5703125" style="3" customWidth="1"/>
    <col min="5" max="5" width="17.7109375" style="3" customWidth="1"/>
    <col min="6" max="6" width="14.42578125" style="3" customWidth="1"/>
    <col min="7" max="7" width="14" style="3" customWidth="1"/>
    <col min="8" max="8" width="11.7109375" style="3" customWidth="1"/>
    <col min="9" max="16384" width="11.42578125" style="1"/>
  </cols>
  <sheetData>
    <row r="1" spans="1:8" ht="31.5" customHeight="1" x14ac:dyDescent="0.25">
      <c r="A1" s="89" t="s">
        <v>82</v>
      </c>
      <c r="B1" s="89"/>
      <c r="C1" s="89"/>
      <c r="D1" s="89"/>
      <c r="E1" s="89"/>
      <c r="F1" s="89"/>
      <c r="G1" s="89"/>
    </row>
    <row r="2" spans="1:8" ht="79.5" customHeight="1" x14ac:dyDescent="0.25">
      <c r="A2" s="90" t="s">
        <v>69</v>
      </c>
      <c r="B2" s="91"/>
      <c r="C2" s="91"/>
      <c r="D2" s="91"/>
      <c r="E2" s="91"/>
      <c r="F2" s="91"/>
      <c r="G2" s="91"/>
    </row>
    <row r="3" spans="1:8" ht="48" customHeight="1" x14ac:dyDescent="0.25">
      <c r="A3" s="90" t="s">
        <v>129</v>
      </c>
      <c r="B3" s="90"/>
      <c r="C3" s="90"/>
      <c r="D3" s="90"/>
      <c r="E3" s="90"/>
      <c r="F3" s="90"/>
      <c r="G3" s="90"/>
    </row>
    <row r="4" spans="1:8" ht="33.75" customHeight="1" x14ac:dyDescent="0.25">
      <c r="A4" s="90" t="s">
        <v>70</v>
      </c>
      <c r="B4" s="90"/>
      <c r="C4" s="90"/>
      <c r="D4" s="90"/>
      <c r="E4" s="90"/>
      <c r="F4" s="90"/>
      <c r="G4" s="90"/>
    </row>
    <row r="5" spans="1:8" s="9" customFormat="1" ht="21" customHeight="1" x14ac:dyDescent="0.25">
      <c r="A5" s="92" t="s">
        <v>68</v>
      </c>
      <c r="B5" s="92"/>
      <c r="C5" s="92"/>
      <c r="D5" s="92"/>
      <c r="E5" s="92"/>
      <c r="F5" s="92"/>
      <c r="G5" s="92"/>
    </row>
    <row r="6" spans="1:8" ht="11.25" customHeight="1" x14ac:dyDescent="0.25">
      <c r="A6" s="48"/>
      <c r="B6" s="48"/>
      <c r="C6" s="48"/>
      <c r="D6" s="48"/>
      <c r="E6" s="48"/>
      <c r="F6" s="48"/>
      <c r="G6" s="48"/>
    </row>
    <row r="7" spans="1:8" x14ac:dyDescent="0.25">
      <c r="A7" s="2">
        <v>1</v>
      </c>
      <c r="B7" s="2" t="s">
        <v>23</v>
      </c>
    </row>
    <row r="8" spans="1:8" ht="15.75" thickBot="1" x14ac:dyDescent="0.3">
      <c r="A8" s="2"/>
      <c r="C8" s="4">
        <v>1</v>
      </c>
      <c r="D8" s="4">
        <v>2</v>
      </c>
      <c r="E8" s="4">
        <v>3</v>
      </c>
      <c r="F8" s="4">
        <v>4</v>
      </c>
      <c r="G8" s="4">
        <v>5</v>
      </c>
    </row>
    <row r="9" spans="1:8" s="5" customFormat="1" ht="60.75" thickBot="1" x14ac:dyDescent="0.3">
      <c r="A9" s="23" t="s">
        <v>0</v>
      </c>
      <c r="B9" s="24" t="s">
        <v>1</v>
      </c>
      <c r="C9" s="24" t="s">
        <v>2</v>
      </c>
      <c r="D9" s="24" t="s">
        <v>3</v>
      </c>
      <c r="E9" s="24" t="s">
        <v>6</v>
      </c>
      <c r="F9" s="24" t="s">
        <v>4</v>
      </c>
      <c r="G9" s="25" t="s">
        <v>5</v>
      </c>
      <c r="H9" s="4"/>
    </row>
    <row r="10" spans="1:8" ht="30" x14ac:dyDescent="0.25">
      <c r="A10" s="21">
        <v>1</v>
      </c>
      <c r="B10" s="29" t="s">
        <v>130</v>
      </c>
      <c r="C10" s="22">
        <v>60000</v>
      </c>
      <c r="D10" s="21">
        <v>5</v>
      </c>
      <c r="E10" s="22">
        <v>5000</v>
      </c>
      <c r="F10" s="22">
        <f>C10-E10</f>
        <v>55000</v>
      </c>
      <c r="G10" s="22">
        <f>F10/D10</f>
        <v>11000</v>
      </c>
    </row>
    <row r="11" spans="1:8" x14ac:dyDescent="0.25">
      <c r="A11" s="19">
        <v>2</v>
      </c>
      <c r="B11" s="19" t="s">
        <v>7</v>
      </c>
      <c r="C11" s="20">
        <v>6000</v>
      </c>
      <c r="D11" s="19">
        <v>10</v>
      </c>
      <c r="E11" s="20">
        <v>0</v>
      </c>
      <c r="F11" s="20">
        <f>C11-E11</f>
        <v>6000</v>
      </c>
      <c r="G11" s="20">
        <f>F11/D11</f>
        <v>600</v>
      </c>
    </row>
    <row r="12" spans="1:8" ht="30.75" thickBot="1" x14ac:dyDescent="0.3">
      <c r="A12" s="19">
        <v>3</v>
      </c>
      <c r="B12" s="19" t="s">
        <v>8</v>
      </c>
      <c r="C12" s="26">
        <v>5000</v>
      </c>
      <c r="D12" s="19">
        <v>5</v>
      </c>
      <c r="E12" s="20">
        <v>0</v>
      </c>
      <c r="F12" s="20">
        <f>C12-E12</f>
        <v>5000</v>
      </c>
      <c r="G12" s="26">
        <f>F12/D12</f>
        <v>1000</v>
      </c>
    </row>
    <row r="13" spans="1:8" ht="15.75" thickBot="1" x14ac:dyDescent="0.3">
      <c r="B13" s="15" t="s">
        <v>18</v>
      </c>
      <c r="C13" s="27">
        <f>SUM(C10:C12)</f>
        <v>71000</v>
      </c>
      <c r="E13" s="7"/>
      <c r="F13" s="8"/>
      <c r="G13" s="27">
        <f>SUM(G10:G12)</f>
        <v>12600</v>
      </c>
    </row>
    <row r="15" spans="1:8" s="9" customFormat="1" x14ac:dyDescent="0.25">
      <c r="A15" s="9" t="s">
        <v>10</v>
      </c>
    </row>
    <row r="16" spans="1:8" x14ac:dyDescent="0.25">
      <c r="B16" s="9" t="s">
        <v>11</v>
      </c>
    </row>
    <row r="17" spans="1:8" s="9" customFormat="1" x14ac:dyDescent="0.25">
      <c r="B17" s="12" t="s">
        <v>131</v>
      </c>
    </row>
    <row r="18" spans="1:8" s="9" customFormat="1" x14ac:dyDescent="0.25">
      <c r="B18" s="9" t="s">
        <v>12</v>
      </c>
    </row>
    <row r="19" spans="1:8" s="9" customFormat="1" x14ac:dyDescent="0.25">
      <c r="B19" s="9" t="s">
        <v>13</v>
      </c>
    </row>
    <row r="20" spans="1:8" s="9" customFormat="1" x14ac:dyDescent="0.25">
      <c r="B20" s="9" t="s">
        <v>14</v>
      </c>
    </row>
    <row r="21" spans="1:8" s="9" customFormat="1" x14ac:dyDescent="0.25">
      <c r="B21" s="9" t="s">
        <v>15</v>
      </c>
    </row>
    <row r="22" spans="1:8" s="9" customFormat="1" x14ac:dyDescent="0.25">
      <c r="B22" s="12" t="s">
        <v>16</v>
      </c>
    </row>
    <row r="23" spans="1:8" s="9" customFormat="1" ht="12" customHeight="1" x14ac:dyDescent="0.25"/>
    <row r="24" spans="1:8" s="11" customFormat="1" x14ac:dyDescent="0.25">
      <c r="A24" s="10">
        <v>2</v>
      </c>
      <c r="B24" s="2" t="s">
        <v>9</v>
      </c>
      <c r="C24" s="10"/>
      <c r="D24" s="10"/>
      <c r="E24" s="10"/>
      <c r="F24" s="10"/>
      <c r="G24" s="10"/>
      <c r="H24" s="10"/>
    </row>
    <row r="25" spans="1:8" ht="10.5" customHeight="1" thickBot="1" x14ac:dyDescent="0.3"/>
    <row r="26" spans="1:8" s="5" customFormat="1" ht="45.75" thickBot="1" x14ac:dyDescent="0.3">
      <c r="A26" s="23" t="s">
        <v>0</v>
      </c>
      <c r="B26" s="24" t="s">
        <v>1</v>
      </c>
      <c r="C26" s="30" t="s">
        <v>20</v>
      </c>
      <c r="D26" s="24" t="s">
        <v>17</v>
      </c>
      <c r="E26" s="24" t="s">
        <v>21</v>
      </c>
      <c r="F26" s="25" t="s">
        <v>33</v>
      </c>
      <c r="G26" s="4"/>
      <c r="H26" s="4"/>
    </row>
    <row r="27" spans="1:8" x14ac:dyDescent="0.25">
      <c r="A27" s="21">
        <v>1</v>
      </c>
      <c r="B27" s="29" t="s">
        <v>19</v>
      </c>
      <c r="C27" s="22">
        <f>C13</f>
        <v>71000</v>
      </c>
      <c r="D27" s="22">
        <f>G13</f>
        <v>12600</v>
      </c>
      <c r="E27" s="22">
        <f>D27/12</f>
        <v>1050</v>
      </c>
      <c r="F27" s="33">
        <f>E27*6.96</f>
        <v>7308</v>
      </c>
    </row>
    <row r="29" spans="1:8" s="2" customFormat="1" x14ac:dyDescent="0.25">
      <c r="A29" s="2">
        <v>3</v>
      </c>
      <c r="B29" s="2" t="s">
        <v>22</v>
      </c>
    </row>
    <row r="30" spans="1:8" s="9" customFormat="1" x14ac:dyDescent="0.25">
      <c r="B30" s="12" t="s">
        <v>71</v>
      </c>
    </row>
    <row r="31" spans="1:8" s="9" customFormat="1" x14ac:dyDescent="0.25">
      <c r="B31" s="12" t="s">
        <v>24</v>
      </c>
    </row>
    <row r="32" spans="1:8" x14ac:dyDescent="0.25">
      <c r="B32" s="13" t="s">
        <v>25</v>
      </c>
    </row>
    <row r="33" spans="1:8" s="9" customFormat="1" x14ac:dyDescent="0.25">
      <c r="B33" s="12" t="s">
        <v>72</v>
      </c>
      <c r="F33" s="46">
        <v>15</v>
      </c>
      <c r="G33" s="47" t="s">
        <v>73</v>
      </c>
      <c r="H33" s="49"/>
    </row>
    <row r="35" spans="1:8" s="2" customFormat="1" x14ac:dyDescent="0.25">
      <c r="A35" s="2">
        <v>4</v>
      </c>
      <c r="B35" s="2" t="s">
        <v>26</v>
      </c>
    </row>
    <row r="36" spans="1:8" ht="15.75" thickBot="1" x14ac:dyDescent="0.3">
      <c r="B36" s="9" t="s">
        <v>27</v>
      </c>
    </row>
    <row r="37" spans="1:8" s="5" customFormat="1" ht="30.75" thickBot="1" x14ac:dyDescent="0.3">
      <c r="A37" s="23" t="s">
        <v>0</v>
      </c>
      <c r="B37" s="24" t="s">
        <v>1</v>
      </c>
      <c r="C37" s="24" t="s">
        <v>28</v>
      </c>
      <c r="D37" s="24" t="s">
        <v>29</v>
      </c>
      <c r="E37" s="25" t="s">
        <v>31</v>
      </c>
      <c r="F37" s="4"/>
      <c r="G37" s="4"/>
      <c r="H37" s="4"/>
    </row>
    <row r="38" spans="1:8" ht="45.75" thickBot="1" x14ac:dyDescent="0.3">
      <c r="A38" s="21">
        <v>1</v>
      </c>
      <c r="B38" s="29" t="s">
        <v>30</v>
      </c>
      <c r="C38" s="21">
        <v>1</v>
      </c>
      <c r="D38" s="22">
        <v>4500</v>
      </c>
      <c r="E38" s="22">
        <f>D38*1.55</f>
        <v>6975</v>
      </c>
    </row>
    <row r="39" spans="1:8" ht="15.75" thickBot="1" x14ac:dyDescent="0.3">
      <c r="B39" s="13"/>
      <c r="D39" s="31" t="s">
        <v>18</v>
      </c>
      <c r="E39" s="34">
        <f>SUM(E38:E38)</f>
        <v>6975</v>
      </c>
    </row>
    <row r="40" spans="1:8" x14ac:dyDescent="0.25">
      <c r="B40" s="13"/>
      <c r="D40" s="6"/>
      <c r="E40" s="6"/>
    </row>
    <row r="41" spans="1:8" s="9" customFormat="1" x14ac:dyDescent="0.25">
      <c r="A41" s="16" t="s">
        <v>32</v>
      </c>
      <c r="B41" s="12" t="s">
        <v>132</v>
      </c>
    </row>
    <row r="43" spans="1:8" s="9" customFormat="1" x14ac:dyDescent="0.25">
      <c r="A43" s="2">
        <v>5</v>
      </c>
      <c r="B43" s="2" t="s">
        <v>34</v>
      </c>
    </row>
    <row r="44" spans="1:8" s="9" customFormat="1" x14ac:dyDescent="0.25">
      <c r="B44" s="12" t="s">
        <v>35</v>
      </c>
    </row>
    <row r="45" spans="1:8" s="9" customFormat="1" x14ac:dyDescent="0.25">
      <c r="B45" s="12" t="s">
        <v>36</v>
      </c>
    </row>
    <row r="46" spans="1:8" s="9" customFormat="1" x14ac:dyDescent="0.25">
      <c r="B46" s="12" t="s">
        <v>37</v>
      </c>
    </row>
    <row r="47" spans="1:8" x14ac:dyDescent="0.25">
      <c r="B47" s="14" t="s">
        <v>38</v>
      </c>
      <c r="C47" s="17">
        <f>3000/12</f>
        <v>250</v>
      </c>
      <c r="D47" s="36">
        <f>C47*6.96</f>
        <v>1740</v>
      </c>
      <c r="E47" s="10" t="s">
        <v>39</v>
      </c>
    </row>
    <row r="49" spans="1:8" s="2" customFormat="1" x14ac:dyDescent="0.25">
      <c r="A49" s="2">
        <v>6</v>
      </c>
      <c r="B49" s="2" t="s">
        <v>40</v>
      </c>
    </row>
    <row r="50" spans="1:8" ht="15.75" thickBot="1" x14ac:dyDescent="0.3"/>
    <row r="51" spans="1:8" s="5" customFormat="1" ht="45.75" thickBot="1" x14ac:dyDescent="0.3">
      <c r="A51" s="23" t="s">
        <v>0</v>
      </c>
      <c r="B51" s="24" t="s">
        <v>1</v>
      </c>
      <c r="C51" s="24" t="s">
        <v>75</v>
      </c>
      <c r="D51" s="24" t="s">
        <v>41</v>
      </c>
      <c r="E51" s="25" t="s">
        <v>42</v>
      </c>
      <c r="F51" s="4"/>
      <c r="G51" s="4"/>
      <c r="H51" s="4"/>
    </row>
    <row r="52" spans="1:8" ht="45" x14ac:dyDescent="0.25">
      <c r="A52" s="21">
        <v>1</v>
      </c>
      <c r="B52" s="29" t="s">
        <v>74</v>
      </c>
      <c r="C52" s="21">
        <f>F33*25</f>
        <v>375</v>
      </c>
      <c r="D52" s="21">
        <v>3.73</v>
      </c>
      <c r="E52" s="21">
        <f>D52*C52</f>
        <v>1398.75</v>
      </c>
    </row>
    <row r="53" spans="1:8" x14ac:dyDescent="0.25">
      <c r="A53" s="19">
        <v>2</v>
      </c>
      <c r="B53" s="28" t="s">
        <v>43</v>
      </c>
      <c r="C53" s="19">
        <v>20</v>
      </c>
      <c r="D53" s="20">
        <v>37</v>
      </c>
      <c r="E53" s="21">
        <f>D53*C53</f>
        <v>740</v>
      </c>
    </row>
    <row r="54" spans="1:8" x14ac:dyDescent="0.25">
      <c r="A54" s="19"/>
      <c r="B54" s="52" t="s">
        <v>51</v>
      </c>
      <c r="C54" s="19"/>
      <c r="D54" s="50"/>
      <c r="E54" s="51">
        <f>SUM(E52:E53)</f>
        <v>2138.75</v>
      </c>
    </row>
    <row r="55" spans="1:8" ht="15.75" thickBot="1" x14ac:dyDescent="0.3">
      <c r="A55" s="19">
        <v>3</v>
      </c>
      <c r="B55" s="28" t="s">
        <v>76</v>
      </c>
      <c r="C55" s="19"/>
      <c r="D55" s="32"/>
      <c r="E55" s="26">
        <f>E54*0.1</f>
        <v>213.875</v>
      </c>
    </row>
    <row r="56" spans="1:8" ht="15.75" thickBot="1" x14ac:dyDescent="0.3">
      <c r="D56" s="53" t="s">
        <v>18</v>
      </c>
      <c r="E56" s="35">
        <f>SUM(E54:E55)</f>
        <v>2352.625</v>
      </c>
    </row>
    <row r="58" spans="1:8" x14ac:dyDescent="0.25">
      <c r="A58" s="10">
        <v>7</v>
      </c>
      <c r="B58" s="10" t="s">
        <v>44</v>
      </c>
    </row>
    <row r="60" spans="1:8" s="5" customFormat="1" x14ac:dyDescent="0.25">
      <c r="A60" s="18" t="s">
        <v>45</v>
      </c>
      <c r="B60" s="18" t="s">
        <v>46</v>
      </c>
      <c r="C60" s="18" t="s">
        <v>39</v>
      </c>
      <c r="D60" s="4"/>
      <c r="E60" s="4"/>
      <c r="F60" s="4"/>
      <c r="G60" s="4"/>
      <c r="H60" s="4"/>
    </row>
    <row r="61" spans="1:8" x14ac:dyDescent="0.25">
      <c r="A61" s="19">
        <v>1</v>
      </c>
      <c r="B61" s="28" t="s">
        <v>47</v>
      </c>
      <c r="C61" s="20">
        <f>F27</f>
        <v>7308</v>
      </c>
    </row>
    <row r="62" spans="1:8" x14ac:dyDescent="0.25">
      <c r="A62" s="19">
        <v>2</v>
      </c>
      <c r="B62" s="28" t="s">
        <v>48</v>
      </c>
      <c r="C62" s="20">
        <f>E39</f>
        <v>6975</v>
      </c>
    </row>
    <row r="63" spans="1:8" x14ac:dyDescent="0.25">
      <c r="A63" s="19">
        <v>3</v>
      </c>
      <c r="B63" s="28" t="s">
        <v>49</v>
      </c>
      <c r="C63" s="20">
        <f>D47</f>
        <v>1740</v>
      </c>
    </row>
    <row r="64" spans="1:8" x14ac:dyDescent="0.25">
      <c r="A64" s="19">
        <v>4</v>
      </c>
      <c r="B64" s="28" t="s">
        <v>50</v>
      </c>
      <c r="C64" s="20">
        <f>E56</f>
        <v>2352.625</v>
      </c>
    </row>
    <row r="65" spans="1:8" x14ac:dyDescent="0.25">
      <c r="B65" s="37" t="s">
        <v>51</v>
      </c>
      <c r="C65" s="38">
        <f>SUM(C61:C64)</f>
        <v>18375.625</v>
      </c>
    </row>
    <row r="66" spans="1:8" s="9" customFormat="1" x14ac:dyDescent="0.25">
      <c r="B66" s="87" t="s">
        <v>52</v>
      </c>
      <c r="C66" s="85">
        <f>C65*20%</f>
        <v>3675.125</v>
      </c>
      <c r="D66" s="12" t="s">
        <v>53</v>
      </c>
    </row>
    <row r="67" spans="1:8" s="9" customFormat="1" ht="15.75" thickBot="1" x14ac:dyDescent="0.3">
      <c r="B67" s="88"/>
      <c r="C67" s="86"/>
      <c r="D67" s="12" t="s">
        <v>77</v>
      </c>
    </row>
    <row r="68" spans="1:8" ht="15.75" thickBot="1" x14ac:dyDescent="0.3">
      <c r="B68" s="39" t="s">
        <v>18</v>
      </c>
      <c r="C68" s="40">
        <f>SUM(C65:C67)</f>
        <v>22050.75</v>
      </c>
    </row>
    <row r="70" spans="1:8" x14ac:dyDescent="0.25">
      <c r="A70" s="10">
        <v>8</v>
      </c>
      <c r="B70" s="10" t="s">
        <v>54</v>
      </c>
    </row>
    <row r="71" spans="1:8" s="9" customFormat="1" x14ac:dyDescent="0.25">
      <c r="B71" s="12" t="s">
        <v>133</v>
      </c>
    </row>
    <row r="72" spans="1:8" x14ac:dyDescent="0.25">
      <c r="B72" s="13" t="s">
        <v>55</v>
      </c>
    </row>
    <row r="73" spans="1:8" x14ac:dyDescent="0.25">
      <c r="B73" s="13" t="s">
        <v>56</v>
      </c>
    </row>
    <row r="74" spans="1:8" ht="15.75" thickBot="1" x14ac:dyDescent="0.3"/>
    <row r="75" spans="1:8" s="5" customFormat="1" ht="45.75" thickBot="1" x14ac:dyDescent="0.3">
      <c r="A75" s="23" t="s">
        <v>0</v>
      </c>
      <c r="B75" s="24" t="s">
        <v>1</v>
      </c>
      <c r="C75" s="24" t="s">
        <v>57</v>
      </c>
      <c r="D75" s="24" t="s">
        <v>58</v>
      </c>
      <c r="E75" s="24" t="s">
        <v>59</v>
      </c>
      <c r="F75" s="42" t="s">
        <v>60</v>
      </c>
      <c r="G75" s="43" t="s">
        <v>61</v>
      </c>
      <c r="H75" s="4"/>
    </row>
    <row r="76" spans="1:8" ht="30" x14ac:dyDescent="0.25">
      <c r="A76" s="21">
        <v>1</v>
      </c>
      <c r="B76" s="29" t="s">
        <v>78</v>
      </c>
      <c r="C76" s="41">
        <v>0.6</v>
      </c>
      <c r="D76" s="21">
        <v>200</v>
      </c>
      <c r="E76" s="21">
        <f>D76*C76*30</f>
        <v>3600</v>
      </c>
      <c r="F76" s="44">
        <f>C68/E76</f>
        <v>6.1252083333333331</v>
      </c>
      <c r="G76" s="44">
        <f>F76/6.96</f>
        <v>0.88005866858237547</v>
      </c>
    </row>
    <row r="79" spans="1:8" x14ac:dyDescent="0.25">
      <c r="A79" s="10">
        <v>9</v>
      </c>
      <c r="B79" s="10" t="s">
        <v>62</v>
      </c>
    </row>
    <row r="80" spans="1:8" s="9" customFormat="1" x14ac:dyDescent="0.25">
      <c r="A80" s="2"/>
      <c r="B80" s="2" t="s">
        <v>154</v>
      </c>
    </row>
    <row r="81" spans="1:4" s="9" customFormat="1" x14ac:dyDescent="0.25">
      <c r="A81" s="2"/>
      <c r="B81" s="45" t="s">
        <v>155</v>
      </c>
    </row>
    <row r="83" spans="1:4" s="9" customFormat="1" x14ac:dyDescent="0.25">
      <c r="A83" s="2" t="s">
        <v>156</v>
      </c>
      <c r="B83" s="2"/>
      <c r="C83" s="2"/>
      <c r="D83" s="2"/>
    </row>
    <row r="84" spans="1:4" s="9" customFormat="1" x14ac:dyDescent="0.25">
      <c r="B84" s="12" t="s">
        <v>63</v>
      </c>
    </row>
    <row r="85" spans="1:4" s="9" customFormat="1" x14ac:dyDescent="0.25">
      <c r="B85" s="12" t="s">
        <v>79</v>
      </c>
    </row>
    <row r="86" spans="1:4" s="9" customFormat="1" x14ac:dyDescent="0.25">
      <c r="B86" s="12" t="s">
        <v>80</v>
      </c>
    </row>
    <row r="87" spans="1:4" s="9" customFormat="1" x14ac:dyDescent="0.25">
      <c r="B87" s="12" t="s">
        <v>64</v>
      </c>
    </row>
    <row r="88" spans="1:4" s="9" customFormat="1" x14ac:dyDescent="0.25">
      <c r="B88" s="12" t="s">
        <v>65</v>
      </c>
    </row>
    <row r="89" spans="1:4" s="9" customFormat="1" x14ac:dyDescent="0.25">
      <c r="B89" s="12" t="s">
        <v>67</v>
      </c>
    </row>
    <row r="90" spans="1:4" x14ac:dyDescent="0.25">
      <c r="B90" s="13" t="s">
        <v>66</v>
      </c>
    </row>
    <row r="91" spans="1:4" s="9" customFormat="1" x14ac:dyDescent="0.25">
      <c r="B91" s="12" t="s">
        <v>81</v>
      </c>
    </row>
  </sheetData>
  <mergeCells count="7">
    <mergeCell ref="C66:C67"/>
    <mergeCell ref="B66:B67"/>
    <mergeCell ref="A1:G1"/>
    <mergeCell ref="A2:G2"/>
    <mergeCell ref="A3:G3"/>
    <mergeCell ref="A4:G4"/>
    <mergeCell ref="A5:G5"/>
  </mergeCells>
  <phoneticPr fontId="0" type="noConversion"/>
  <pageMargins left="0.25" right="0.28000000000000003" top="0.37" bottom="0.35" header="0.3" footer="0.3"/>
  <pageSetup scale="86" fitToHeight="2"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
  <sheetViews>
    <sheetView tabSelected="1" topLeftCell="A40" workbookViewId="0">
      <selection activeCell="G52" sqref="G52"/>
    </sheetView>
  </sheetViews>
  <sheetFormatPr baseColWidth="10" defaultRowHeight="12.75" x14ac:dyDescent="0.2"/>
  <cols>
    <col min="1" max="1" width="6.42578125" style="54" customWidth="1"/>
    <col min="2" max="2" width="11.42578125" style="54"/>
    <col min="3" max="3" width="17.5703125" style="54" customWidth="1"/>
    <col min="4" max="4" width="11.42578125" style="54"/>
    <col min="5" max="5" width="9.5703125" style="54" customWidth="1"/>
    <col min="6" max="6" width="9.140625" style="54" customWidth="1"/>
    <col min="7" max="7" width="25.28515625" style="54" customWidth="1"/>
    <col min="8" max="8" width="29.85546875" style="54" customWidth="1"/>
    <col min="9" max="16384" width="11.42578125" style="54"/>
  </cols>
  <sheetData>
    <row r="2" spans="1:8" x14ac:dyDescent="0.2">
      <c r="A2" s="101" t="s">
        <v>126</v>
      </c>
      <c r="B2" s="101"/>
      <c r="C2" s="101"/>
      <c r="D2" s="101"/>
      <c r="E2" s="101"/>
      <c r="F2" s="101"/>
      <c r="G2" s="101"/>
      <c r="H2" s="101"/>
    </row>
    <row r="3" spans="1:8" ht="26.25" customHeight="1" x14ac:dyDescent="0.2">
      <c r="A3" s="93" t="s">
        <v>157</v>
      </c>
      <c r="B3" s="93"/>
      <c r="C3" s="93"/>
      <c r="D3" s="93"/>
      <c r="E3" s="93"/>
      <c r="F3" s="93"/>
      <c r="G3" s="93"/>
      <c r="H3" s="93"/>
    </row>
    <row r="4" spans="1:8" x14ac:dyDescent="0.2">
      <c r="A4" s="94" t="s">
        <v>134</v>
      </c>
      <c r="B4" s="94"/>
      <c r="C4" s="94"/>
      <c r="D4" s="94"/>
      <c r="E4" s="94"/>
      <c r="F4" s="94"/>
      <c r="G4" s="94"/>
      <c r="H4" s="94"/>
    </row>
    <row r="5" spans="1:8" x14ac:dyDescent="0.2">
      <c r="A5" s="94" t="s">
        <v>96</v>
      </c>
      <c r="B5" s="94"/>
      <c r="C5" s="94"/>
      <c r="D5" s="94"/>
      <c r="E5" s="94"/>
      <c r="F5" s="94"/>
      <c r="G5" s="94"/>
      <c r="H5" s="94"/>
    </row>
    <row r="6" spans="1:8" x14ac:dyDescent="0.2">
      <c r="A6" s="94" t="s">
        <v>135</v>
      </c>
      <c r="B6" s="94"/>
      <c r="C6" s="94"/>
      <c r="D6" s="94"/>
      <c r="E6" s="94"/>
      <c r="F6" s="94"/>
      <c r="G6" s="94"/>
      <c r="H6" s="94"/>
    </row>
    <row r="7" spans="1:8" x14ac:dyDescent="0.2">
      <c r="A7" s="94" t="s">
        <v>83</v>
      </c>
      <c r="B7" s="94"/>
      <c r="C7" s="94"/>
      <c r="D7" s="94"/>
      <c r="E7" s="94"/>
      <c r="F7" s="94"/>
      <c r="G7" s="94"/>
      <c r="H7" s="94"/>
    </row>
    <row r="8" spans="1:8" x14ac:dyDescent="0.2">
      <c r="A8" s="94" t="s">
        <v>84</v>
      </c>
      <c r="B8" s="94"/>
      <c r="C8" s="94"/>
      <c r="D8" s="94"/>
      <c r="E8" s="94"/>
      <c r="F8" s="94"/>
      <c r="G8" s="94"/>
      <c r="H8" s="94"/>
    </row>
    <row r="9" spans="1:8" x14ac:dyDescent="0.2">
      <c r="A9" s="54" t="s">
        <v>85</v>
      </c>
      <c r="B9" s="54" t="s">
        <v>86</v>
      </c>
    </row>
    <row r="10" spans="1:8" x14ac:dyDescent="0.2">
      <c r="A10" s="54" t="s">
        <v>85</v>
      </c>
      <c r="B10" s="54" t="s">
        <v>88</v>
      </c>
    </row>
    <row r="11" spans="1:8" x14ac:dyDescent="0.2">
      <c r="A11" s="54" t="s">
        <v>87</v>
      </c>
      <c r="B11" s="54" t="s">
        <v>89</v>
      </c>
    </row>
    <row r="12" spans="1:8" x14ac:dyDescent="0.2">
      <c r="A12" s="54" t="s">
        <v>90</v>
      </c>
      <c r="B12" s="54" t="s">
        <v>91</v>
      </c>
    </row>
    <row r="13" spans="1:8" x14ac:dyDescent="0.2">
      <c r="A13" s="54" t="s">
        <v>92</v>
      </c>
      <c r="B13" s="54" t="s">
        <v>93</v>
      </c>
    </row>
    <row r="14" spans="1:8" x14ac:dyDescent="0.2">
      <c r="A14" s="54" t="s">
        <v>92</v>
      </c>
      <c r="B14" s="54" t="s">
        <v>94</v>
      </c>
    </row>
    <row r="15" spans="1:8" x14ac:dyDescent="0.2">
      <c r="A15" s="54" t="s">
        <v>95</v>
      </c>
      <c r="B15" s="54" t="s">
        <v>127</v>
      </c>
    </row>
    <row r="17" spans="1:8" x14ac:dyDescent="0.2">
      <c r="A17" s="54" t="s">
        <v>97</v>
      </c>
    </row>
    <row r="19" spans="1:8" x14ac:dyDescent="0.2">
      <c r="A19" s="78" t="s">
        <v>128</v>
      </c>
    </row>
    <row r="20" spans="1:8" ht="13.5" thickBot="1" x14ac:dyDescent="0.25"/>
    <row r="21" spans="1:8" ht="26.25" thickBot="1" x14ac:dyDescent="0.25">
      <c r="A21" s="63" t="s">
        <v>45</v>
      </c>
      <c r="B21" s="104" t="s">
        <v>98</v>
      </c>
      <c r="C21" s="104"/>
      <c r="D21" s="64" t="s">
        <v>99</v>
      </c>
      <c r="E21" s="64" t="s">
        <v>100</v>
      </c>
      <c r="F21" s="65" t="s">
        <v>101</v>
      </c>
      <c r="G21" s="80" t="s">
        <v>117</v>
      </c>
      <c r="H21" s="84" t="s">
        <v>141</v>
      </c>
    </row>
    <row r="22" spans="1:8" ht="51" x14ac:dyDescent="0.2">
      <c r="A22" s="60">
        <v>1</v>
      </c>
      <c r="B22" s="105" t="s">
        <v>136</v>
      </c>
      <c r="C22" s="105"/>
      <c r="D22" s="61">
        <v>2500</v>
      </c>
      <c r="E22" s="62">
        <f t="shared" ref="E22:E27" si="0">D22/6.96</f>
        <v>359.19540229885058</v>
      </c>
      <c r="F22" s="62">
        <f>E22/30</f>
        <v>11.973180076628353</v>
      </c>
      <c r="G22" s="81" t="s">
        <v>118</v>
      </c>
      <c r="H22" s="61" t="s">
        <v>147</v>
      </c>
    </row>
    <row r="23" spans="1:8" ht="25.5" x14ac:dyDescent="0.2">
      <c r="A23" s="56">
        <v>2</v>
      </c>
      <c r="B23" s="95" t="s">
        <v>137</v>
      </c>
      <c r="C23" s="95"/>
      <c r="D23" s="57">
        <f>15*30</f>
        <v>450</v>
      </c>
      <c r="E23" s="58">
        <f t="shared" si="0"/>
        <v>64.65517241379311</v>
      </c>
      <c r="F23" s="58">
        <f>E23/30</f>
        <v>2.1551724137931036</v>
      </c>
      <c r="G23" s="82"/>
      <c r="H23" s="57" t="s">
        <v>142</v>
      </c>
    </row>
    <row r="24" spans="1:8" x14ac:dyDescent="0.2">
      <c r="A24" s="56">
        <v>3</v>
      </c>
      <c r="B24" s="95" t="s">
        <v>102</v>
      </c>
      <c r="C24" s="95"/>
      <c r="D24" s="57">
        <v>224</v>
      </c>
      <c r="E24" s="58">
        <f t="shared" si="0"/>
        <v>32.183908045977013</v>
      </c>
      <c r="F24" s="58">
        <f>E24</f>
        <v>32.183908045977013</v>
      </c>
      <c r="G24" s="82" t="s">
        <v>118</v>
      </c>
      <c r="H24" s="57" t="s">
        <v>143</v>
      </c>
    </row>
    <row r="25" spans="1:8" x14ac:dyDescent="0.2">
      <c r="A25" s="56">
        <v>4</v>
      </c>
      <c r="B25" s="95" t="s">
        <v>103</v>
      </c>
      <c r="C25" s="95"/>
      <c r="D25" s="57">
        <v>70</v>
      </c>
      <c r="E25" s="58">
        <f t="shared" si="0"/>
        <v>10.057471264367816</v>
      </c>
      <c r="F25" s="58">
        <f>E25</f>
        <v>10.057471264367816</v>
      </c>
      <c r="G25" s="82"/>
      <c r="H25" s="57" t="s">
        <v>144</v>
      </c>
    </row>
    <row r="26" spans="1:8" x14ac:dyDescent="0.2">
      <c r="A26" s="56">
        <v>5</v>
      </c>
      <c r="B26" s="95" t="s">
        <v>138</v>
      </c>
      <c r="C26" s="95"/>
      <c r="D26" s="57">
        <v>100</v>
      </c>
      <c r="E26" s="58">
        <f t="shared" si="0"/>
        <v>14.367816091954023</v>
      </c>
      <c r="F26" s="58">
        <f>E26/30</f>
        <v>0.47892720306513409</v>
      </c>
      <c r="G26" s="82"/>
      <c r="H26" s="57" t="s">
        <v>145</v>
      </c>
    </row>
    <row r="27" spans="1:8" x14ac:dyDescent="0.2">
      <c r="A27" s="56">
        <v>6</v>
      </c>
      <c r="B27" s="95" t="s">
        <v>139</v>
      </c>
      <c r="C27" s="95"/>
      <c r="D27" s="57">
        <v>250</v>
      </c>
      <c r="E27" s="58">
        <f t="shared" si="0"/>
        <v>35.919540229885058</v>
      </c>
      <c r="F27" s="58">
        <f t="shared" ref="F27:F32" si="1">E27</f>
        <v>35.919540229885058</v>
      </c>
      <c r="G27" s="82"/>
      <c r="H27" s="57" t="s">
        <v>146</v>
      </c>
    </row>
    <row r="28" spans="1:8" x14ac:dyDescent="0.2">
      <c r="A28" s="56">
        <v>7</v>
      </c>
      <c r="B28" s="95" t="s">
        <v>104</v>
      </c>
      <c r="C28" s="95"/>
      <c r="D28" s="57">
        <f>E28*6.96</f>
        <v>835.2</v>
      </c>
      <c r="E28" s="58">
        <v>120</v>
      </c>
      <c r="F28" s="58">
        <f t="shared" si="1"/>
        <v>120</v>
      </c>
      <c r="G28" s="82" t="s">
        <v>118</v>
      </c>
      <c r="H28" s="57" t="s">
        <v>146</v>
      </c>
    </row>
    <row r="29" spans="1:8" ht="25.5" x14ac:dyDescent="0.2">
      <c r="A29" s="56">
        <v>8</v>
      </c>
      <c r="B29" s="102" t="s">
        <v>105</v>
      </c>
      <c r="C29" s="103"/>
      <c r="D29" s="57">
        <v>250</v>
      </c>
      <c r="E29" s="58">
        <f>D29/6.96</f>
        <v>35.919540229885058</v>
      </c>
      <c r="F29" s="58">
        <f t="shared" si="1"/>
        <v>35.919540229885058</v>
      </c>
      <c r="G29" s="82"/>
      <c r="H29" s="57" t="s">
        <v>148</v>
      </c>
    </row>
    <row r="30" spans="1:8" x14ac:dyDescent="0.2">
      <c r="A30" s="56">
        <v>9</v>
      </c>
      <c r="B30" s="95" t="s">
        <v>107</v>
      </c>
      <c r="C30" s="95"/>
      <c r="D30" s="57">
        <v>120</v>
      </c>
      <c r="E30" s="58">
        <f>D30/6.96</f>
        <v>17.241379310344829</v>
      </c>
      <c r="F30" s="58">
        <f t="shared" si="1"/>
        <v>17.241379310344829</v>
      </c>
      <c r="G30" s="82" t="s">
        <v>119</v>
      </c>
      <c r="H30" s="57" t="s">
        <v>146</v>
      </c>
    </row>
    <row r="31" spans="1:8" x14ac:dyDescent="0.2">
      <c r="A31" s="56">
        <v>10</v>
      </c>
      <c r="B31" s="95" t="s">
        <v>106</v>
      </c>
      <c r="C31" s="95"/>
      <c r="D31" s="56">
        <v>100</v>
      </c>
      <c r="E31" s="59">
        <f>D31/6.96</f>
        <v>14.367816091954023</v>
      </c>
      <c r="F31" s="59">
        <f t="shared" si="1"/>
        <v>14.367816091954023</v>
      </c>
      <c r="G31" s="83"/>
      <c r="H31" s="57" t="s">
        <v>146</v>
      </c>
    </row>
    <row r="32" spans="1:8" x14ac:dyDescent="0.2">
      <c r="A32" s="56">
        <v>11</v>
      </c>
      <c r="B32" s="95" t="s">
        <v>108</v>
      </c>
      <c r="C32" s="95"/>
      <c r="D32" s="56">
        <v>18</v>
      </c>
      <c r="E32" s="59">
        <f>D32/6.96</f>
        <v>2.5862068965517242</v>
      </c>
      <c r="F32" s="59">
        <f t="shared" si="1"/>
        <v>2.5862068965517242</v>
      </c>
      <c r="G32" s="83"/>
      <c r="H32" s="57" t="s">
        <v>146</v>
      </c>
    </row>
    <row r="33" spans="1:8" ht="13.5" thickBot="1" x14ac:dyDescent="0.25">
      <c r="A33" s="56">
        <v>12</v>
      </c>
      <c r="B33" s="96" t="s">
        <v>109</v>
      </c>
      <c r="C33" s="97"/>
      <c r="D33" s="56">
        <v>2500</v>
      </c>
      <c r="E33" s="66">
        <f>D33/6.96</f>
        <v>359.19540229885058</v>
      </c>
      <c r="F33" s="66">
        <f>E33/30</f>
        <v>11.973180076628353</v>
      </c>
      <c r="G33" s="83" t="s">
        <v>118</v>
      </c>
      <c r="H33" s="57" t="s">
        <v>149</v>
      </c>
    </row>
    <row r="34" spans="1:8" ht="13.5" thickBot="1" x14ac:dyDescent="0.25">
      <c r="E34" s="67" t="s">
        <v>110</v>
      </c>
      <c r="F34" s="68">
        <f>SUM(F22:F33)</f>
        <v>294.85632183908046</v>
      </c>
    </row>
    <row r="36" spans="1:8" ht="25.5" x14ac:dyDescent="0.2">
      <c r="A36" s="54">
        <v>13</v>
      </c>
      <c r="B36" s="54" t="s">
        <v>111</v>
      </c>
      <c r="F36" s="55">
        <f>F34*10%</f>
        <v>29.485632183908049</v>
      </c>
      <c r="H36" s="106" t="s">
        <v>150</v>
      </c>
    </row>
    <row r="37" spans="1:8" ht="26.25" thickBot="1" x14ac:dyDescent="0.25">
      <c r="A37" s="54">
        <v>14</v>
      </c>
      <c r="B37" s="54" t="s">
        <v>112</v>
      </c>
      <c r="F37" s="55">
        <f>F34*25%</f>
        <v>73.714080459770116</v>
      </c>
      <c r="H37" s="57" t="s">
        <v>151</v>
      </c>
    </row>
    <row r="38" spans="1:8" ht="13.5" thickBot="1" x14ac:dyDescent="0.25">
      <c r="E38" s="69" t="s">
        <v>113</v>
      </c>
      <c r="F38" s="70">
        <f>SUM(F34:F37)</f>
        <v>398.05603448275861</v>
      </c>
      <c r="H38" s="57"/>
    </row>
    <row r="39" spans="1:8" ht="13.5" thickBot="1" x14ac:dyDescent="0.25">
      <c r="A39" s="54">
        <v>15</v>
      </c>
      <c r="B39" s="54" t="s">
        <v>152</v>
      </c>
      <c r="F39" s="55">
        <f>F38*16.5%</f>
        <v>65.679245689655176</v>
      </c>
      <c r="H39" s="57" t="s">
        <v>153</v>
      </c>
    </row>
    <row r="40" spans="1:8" ht="13.5" thickBot="1" x14ac:dyDescent="0.25">
      <c r="D40" s="69" t="s">
        <v>114</v>
      </c>
      <c r="E40" s="71"/>
      <c r="F40" s="70">
        <f>SUM(F38:F39)</f>
        <v>463.73528017241381</v>
      </c>
      <c r="H40" s="57"/>
    </row>
    <row r="42" spans="1:8" x14ac:dyDescent="0.2">
      <c r="A42" s="54">
        <v>16</v>
      </c>
      <c r="B42" s="54" t="s">
        <v>115</v>
      </c>
      <c r="F42" s="55">
        <f>F40*30%</f>
        <v>139.12058405172414</v>
      </c>
      <c r="G42" s="79" t="s">
        <v>140</v>
      </c>
      <c r="H42" s="107">
        <f>F42*30</f>
        <v>4173.6175215517242</v>
      </c>
    </row>
    <row r="43" spans="1:8" ht="13.5" thickBot="1" x14ac:dyDescent="0.25"/>
    <row r="44" spans="1:8" ht="13.5" thickBot="1" x14ac:dyDescent="0.25">
      <c r="D44" s="72" t="s">
        <v>116</v>
      </c>
      <c r="E44" s="73"/>
      <c r="F44" s="74">
        <f>SUM(F40:F42)</f>
        <v>602.85586422413792</v>
      </c>
      <c r="G44" s="54" t="s">
        <v>124</v>
      </c>
    </row>
    <row r="46" spans="1:8" x14ac:dyDescent="0.2">
      <c r="A46" s="54">
        <v>17</v>
      </c>
      <c r="B46" s="54" t="s">
        <v>120</v>
      </c>
    </row>
    <row r="47" spans="1:8" x14ac:dyDescent="0.2">
      <c r="A47" s="54">
        <v>18</v>
      </c>
      <c r="B47" s="54" t="s">
        <v>121</v>
      </c>
      <c r="E47" s="76" t="s">
        <v>122</v>
      </c>
      <c r="F47" s="77">
        <f>F44</f>
        <v>602.85586422413792</v>
      </c>
      <c r="G47" s="75">
        <f>F47*30</f>
        <v>18085.675926724136</v>
      </c>
    </row>
    <row r="48" spans="1:8" x14ac:dyDescent="0.2">
      <c r="E48" s="76" t="s">
        <v>123</v>
      </c>
      <c r="F48" s="77">
        <f>G48+F40</f>
        <v>630.40194683908044</v>
      </c>
      <c r="G48" s="55">
        <f>5000/30</f>
        <v>166.66666666666666</v>
      </c>
      <c r="H48" s="75">
        <f>F48*30</f>
        <v>18912.058405172414</v>
      </c>
    </row>
    <row r="49" spans="3:5" ht="13.5" thickBot="1" x14ac:dyDescent="0.25"/>
    <row r="50" spans="3:5" ht="16.5" customHeight="1" thickBot="1" x14ac:dyDescent="0.25">
      <c r="C50" s="98" t="s">
        <v>125</v>
      </c>
      <c r="D50" s="99"/>
      <c r="E50" s="100"/>
    </row>
  </sheetData>
  <mergeCells count="21">
    <mergeCell ref="B32:C32"/>
    <mergeCell ref="B33:C33"/>
    <mergeCell ref="C50:E50"/>
    <mergeCell ref="A2:H2"/>
    <mergeCell ref="B27:C27"/>
    <mergeCell ref="B28:C28"/>
    <mergeCell ref="B30:C30"/>
    <mergeCell ref="B31:C31"/>
    <mergeCell ref="B23:C23"/>
    <mergeCell ref="B24:C24"/>
    <mergeCell ref="B29:C29"/>
    <mergeCell ref="B26:C26"/>
    <mergeCell ref="A7:H7"/>
    <mergeCell ref="A8:H8"/>
    <mergeCell ref="B21:C21"/>
    <mergeCell ref="B22:C22"/>
    <mergeCell ref="A3:H3"/>
    <mergeCell ref="A4:H4"/>
    <mergeCell ref="A5:H5"/>
    <mergeCell ref="A6:H6"/>
    <mergeCell ref="B25:C25"/>
  </mergeCells>
  <phoneticPr fontId="0" type="noConversion"/>
  <pageMargins left="0.23622047244094491" right="0.23622047244094491" top="0.39370078740157483" bottom="0.74803149606299213" header="0.31496062992125984" footer="0.31496062992125984"/>
  <pageSetup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hotel</vt:lpstr>
      <vt:lpstr>viaje_salar</vt:lpstr>
      <vt:lpstr>Hoja3</vt:lpstr>
    </vt:vector>
  </TitlesOfParts>
  <Company>PUNTOENTEL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Inturias Ponce</dc:creator>
  <cp:lastModifiedBy>Ing Oviedo</cp:lastModifiedBy>
  <cp:lastPrinted>2014-11-13T19:29:02Z</cp:lastPrinted>
  <dcterms:created xsi:type="dcterms:W3CDTF">2011-12-01T22:04:00Z</dcterms:created>
  <dcterms:modified xsi:type="dcterms:W3CDTF">2016-11-21T13:06:56Z</dcterms:modified>
</cp:coreProperties>
</file>